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bna-my.sharepoint.com/personal/eh8150_bna_com/Documents/G_Drive/Ernst's G Drive Files/Misc/"/>
    </mc:Choice>
  </mc:AlternateContent>
  <xr:revisionPtr revIDLastSave="0" documentId="8_{8A033E12-FD18-48D3-BA35-DA1A4E14E315}" xr6:coauthVersionLast="47" xr6:coauthVersionMax="47" xr10:uidLastSave="{00000000-0000-0000-0000-000000000000}"/>
  <bookViews>
    <workbookView xWindow="-120" yWindow="-120" windowWidth="29040" windowHeight="17520" activeTab="1" xr2:uid="{00000000-000D-0000-FFFF-FFFF00000000}"/>
  </bookViews>
  <sheets>
    <sheet name="General Summary" sheetId="4" r:id="rId1"/>
    <sheet name="Takeoff Breakdown" sheetId="6" r:id="rId2"/>
  </sheets>
  <definedNames>
    <definedName name="_xlnm.Print_Area" localSheetId="0">'General Summary'!$A$1:$J$19</definedName>
    <definedName name="_xlnm.Print_Area" localSheetId="1">'Takeoff Breakdown'!$A$2:$N$67</definedName>
    <definedName name="_xlnm.Print_Titles" localSheetId="1">'Takeoff Breakdown'!$1:$10</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0" i="6" l="1"/>
  <c r="K19" i="6"/>
  <c r="H19" i="6"/>
  <c r="N19" i="6" s="1"/>
  <c r="A19" i="6"/>
  <c r="M18" i="6"/>
  <c r="F32" i="6" l="1"/>
  <c r="A20" i="6"/>
  <c r="A21" i="6"/>
  <c r="A22" i="6"/>
  <c r="A23" i="6"/>
  <c r="A24" i="6"/>
  <c r="A27" i="6"/>
  <c r="A28" i="6"/>
  <c r="A30" i="6"/>
  <c r="A31" i="6"/>
  <c r="A33" i="6"/>
  <c r="A34" i="6"/>
  <c r="A36" i="6"/>
  <c r="A37" i="6"/>
  <c r="A40" i="6"/>
  <c r="A41" i="6"/>
  <c r="A43" i="6"/>
  <c r="A44" i="6"/>
  <c r="A46" i="6"/>
  <c r="A47" i="6"/>
  <c r="A50" i="6"/>
  <c r="A51" i="6"/>
  <c r="A53" i="6"/>
  <c r="F45" i="6"/>
  <c r="F39" i="6"/>
  <c r="F42" i="6"/>
  <c r="F38" i="6"/>
  <c r="F35" i="6"/>
  <c r="F29" i="6"/>
  <c r="F25" i="6"/>
  <c r="F49" i="6" s="1"/>
  <c r="B15" i="4"/>
  <c r="P27" i="6"/>
  <c r="Q27" i="6"/>
  <c r="P28" i="6"/>
  <c r="Q28" i="6"/>
  <c r="P30" i="6"/>
  <c r="Q30" i="6"/>
  <c r="P31" i="6"/>
  <c r="Q31" i="6"/>
  <c r="P33" i="6"/>
  <c r="Q33" i="6"/>
  <c r="P34" i="6"/>
  <c r="Q34" i="6"/>
  <c r="P36" i="6"/>
  <c r="Q36" i="6"/>
  <c r="P37" i="6"/>
  <c r="Q37" i="6"/>
  <c r="P40" i="6"/>
  <c r="Q40" i="6"/>
  <c r="P41" i="6"/>
  <c r="Q41" i="6"/>
  <c r="P43" i="6"/>
  <c r="Q43" i="6"/>
  <c r="P44" i="6"/>
  <c r="Q44" i="6"/>
  <c r="P46" i="6"/>
  <c r="Q46" i="6"/>
  <c r="P47" i="6"/>
  <c r="Q47" i="6"/>
  <c r="P50" i="6"/>
  <c r="Q50" i="6"/>
  <c r="P51" i="6"/>
  <c r="Q51" i="6"/>
  <c r="P53" i="6"/>
  <c r="Q53" i="6"/>
  <c r="K45" i="6"/>
  <c r="K42" i="6"/>
  <c r="K38" i="6"/>
  <c r="K35" i="6"/>
  <c r="K32" i="6"/>
  <c r="K29" i="6"/>
  <c r="K25" i="6"/>
  <c r="F52" i="6" l="1"/>
  <c r="F48" i="6"/>
  <c r="B5" i="4"/>
  <c r="B18" i="4"/>
  <c r="B17" i="4"/>
  <c r="B16" i="4"/>
  <c r="B14" i="4"/>
  <c r="M32" i="6"/>
  <c r="H32" i="6"/>
  <c r="H39" i="6"/>
  <c r="M38" i="6"/>
  <c r="H38" i="6"/>
  <c r="K39" i="6"/>
  <c r="M39" i="6" s="1"/>
  <c r="H52" i="6"/>
  <c r="Q52" i="6" s="1"/>
  <c r="H48" i="6"/>
  <c r="K48" i="6"/>
  <c r="M48" i="6" s="1"/>
  <c r="H49" i="6"/>
  <c r="F26" i="6"/>
  <c r="H26" i="6" s="1"/>
  <c r="K52" i="6"/>
  <c r="M42" i="6"/>
  <c r="H42" i="6"/>
  <c r="M35" i="6"/>
  <c r="H35" i="6"/>
  <c r="K49" i="6"/>
  <c r="M49" i="6" s="1"/>
  <c r="H45" i="6"/>
  <c r="M29" i="6"/>
  <c r="H29" i="6"/>
  <c r="Q29" i="6" s="1"/>
  <c r="M45" i="6"/>
  <c r="K26" i="6"/>
  <c r="M26" i="6" s="1"/>
  <c r="M25" i="6"/>
  <c r="H25" i="6"/>
  <c r="A56" i="6"/>
  <c r="A55" i="6"/>
  <c r="K18" i="6"/>
  <c r="H18" i="6"/>
  <c r="K17" i="6"/>
  <c r="H17" i="6"/>
  <c r="K16" i="6"/>
  <c r="H16" i="6"/>
  <c r="K15" i="6"/>
  <c r="H15" i="6"/>
  <c r="K14" i="6"/>
  <c r="M14" i="6" s="1"/>
  <c r="H14" i="6"/>
  <c r="K13" i="6"/>
  <c r="H13" i="6"/>
  <c r="K12" i="6"/>
  <c r="M12" i="6" s="1"/>
  <c r="H12" i="6"/>
  <c r="A12" i="6"/>
  <c r="A13" i="6" l="1"/>
  <c r="A14" i="6" s="1"/>
  <c r="P45" i="6"/>
  <c r="Q45" i="6"/>
  <c r="P39" i="6"/>
  <c r="Q39" i="6"/>
  <c r="P42" i="6"/>
  <c r="Q42" i="6"/>
  <c r="Q38" i="6"/>
  <c r="P38" i="6"/>
  <c r="P35" i="6"/>
  <c r="Q35" i="6"/>
  <c r="Q32" i="6"/>
  <c r="P32" i="6"/>
  <c r="P29" i="6"/>
  <c r="P26" i="6"/>
  <c r="Q26" i="6"/>
  <c r="P25" i="6"/>
  <c r="Q25" i="6"/>
  <c r="Q49" i="6"/>
  <c r="P49" i="6"/>
  <c r="P48" i="6"/>
  <c r="Q48" i="6"/>
  <c r="M52" i="6"/>
  <c r="N52" i="6" s="1"/>
  <c r="P52" i="6"/>
  <c r="A15" i="6"/>
  <c r="A16" i="6" s="1"/>
  <c r="N32" i="6"/>
  <c r="N48" i="6"/>
  <c r="N38" i="6"/>
  <c r="N39" i="6"/>
  <c r="N42" i="6"/>
  <c r="N35" i="6"/>
  <c r="N49" i="6"/>
  <c r="N29" i="6"/>
  <c r="N45" i="6"/>
  <c r="N26" i="6"/>
  <c r="N25" i="6"/>
  <c r="N15" i="6"/>
  <c r="N13" i="6"/>
  <c r="N17" i="6"/>
  <c r="N12" i="6"/>
  <c r="N16" i="6"/>
  <c r="N18" i="6"/>
  <c r="N14" i="6"/>
  <c r="C10" i="4" l="1"/>
  <c r="D10" i="4" s="1"/>
  <c r="Q55" i="6"/>
  <c r="N62" i="6" s="1"/>
  <c r="C18" i="4" s="1"/>
  <c r="N55" i="6"/>
  <c r="C11" i="4" s="1"/>
  <c r="P55" i="6"/>
  <c r="A17" i="6"/>
  <c r="A18" i="6" l="1"/>
  <c r="N57" i="6"/>
  <c r="A25" i="6" l="1"/>
  <c r="N59" i="6"/>
  <c r="C15" i="4" s="1"/>
  <c r="N58" i="6"/>
  <c r="N60" i="6"/>
  <c r="N61" i="6"/>
  <c r="A26" i="6" l="1"/>
  <c r="N63" i="6"/>
  <c r="A29" i="6" l="1"/>
  <c r="A32" i="6" s="1"/>
  <c r="A35" i="6" s="1"/>
  <c r="A38" i="6" s="1"/>
  <c r="D11" i="4"/>
  <c r="D12" i="4" s="1"/>
  <c r="C12" i="4"/>
  <c r="A39" i="6" l="1"/>
  <c r="D16" i="4"/>
  <c r="D15" i="4"/>
  <c r="D17" i="4"/>
  <c r="D14" i="4"/>
  <c r="D18" i="4"/>
  <c r="C17" i="4"/>
  <c r="C14" i="4"/>
  <c r="C16" i="4"/>
  <c r="A42" i="6" l="1"/>
  <c r="D19" i="4"/>
  <c r="C19" i="4"/>
  <c r="A45" i="6" l="1"/>
  <c r="A48" i="6" s="1"/>
  <c r="A49" i="6" s="1"/>
  <c r="A5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Evening</author>
  </authors>
  <commentList>
    <comment ref="D10" authorId="0" shapeId="0" xr:uid="{B2232986-DA6D-4DCE-9C3F-466675F234A9}">
      <text>
        <r>
          <rPr>
            <b/>
            <sz val="9"/>
            <color indexed="81"/>
            <rFont val="Tahoma"/>
            <family val="2"/>
          </rPr>
          <t>Evening:</t>
        </r>
        <r>
          <rPr>
            <sz val="9"/>
            <color indexed="81"/>
            <rFont val="Tahoma"/>
            <family val="2"/>
          </rPr>
          <t xml:space="preserve">
</t>
        </r>
      </text>
    </comment>
  </commentList>
</comments>
</file>

<file path=xl/sharedStrings.xml><?xml version="1.0" encoding="utf-8"?>
<sst xmlns="http://schemas.openxmlformats.org/spreadsheetml/2006/main" count="113" uniqueCount="81">
  <si>
    <t>DESCRIPTION</t>
  </si>
  <si>
    <t>QUANTITY</t>
  </si>
  <si>
    <t>UNIT</t>
  </si>
  <si>
    <t>INSURANCE</t>
  </si>
  <si>
    <t>LS</t>
  </si>
  <si>
    <t>UNIT COST</t>
  </si>
  <si>
    <t>SR #</t>
  </si>
  <si>
    <t>Final Cleaning</t>
  </si>
  <si>
    <t>SUB COST</t>
  </si>
  <si>
    <t>PROJECTED COST</t>
  </si>
  <si>
    <t>SUGGESTED BID</t>
  </si>
  <si>
    <t>TOTAL DIV. COST</t>
  </si>
  <si>
    <t>TOTAL TRADE COST</t>
  </si>
  <si>
    <t>CONTINGENCY</t>
  </si>
  <si>
    <t>Date:</t>
  </si>
  <si>
    <t>GENERAL REQUIREMENTS</t>
  </si>
  <si>
    <t>Scope:</t>
  </si>
  <si>
    <t>WASTAGE</t>
  </si>
  <si>
    <t>QUANTITY W/ WASTAGE</t>
  </si>
  <si>
    <t>SUBTOTAL</t>
  </si>
  <si>
    <t>Prepared for:</t>
  </si>
  <si>
    <t>TAX</t>
  </si>
  <si>
    <t>GENERAL SUMMARY</t>
  </si>
  <si>
    <t>DETAILED BREAKDOWN OF ITEMS</t>
  </si>
  <si>
    <t>LABOR COST</t>
  </si>
  <si>
    <t>MAT. COST</t>
  </si>
  <si>
    <t xml:space="preserve">  </t>
  </si>
  <si>
    <t>Project ID:</t>
  </si>
  <si>
    <t>Drawing #</t>
  </si>
  <si>
    <t>Detail #</t>
  </si>
  <si>
    <t>UNIT MANHOUR</t>
  </si>
  <si>
    <t>HOURLY WAGE</t>
  </si>
  <si>
    <t>TOTAL DIV. COST (PER SF)</t>
  </si>
  <si>
    <t>Permits</t>
  </si>
  <si>
    <t>Supervision and Coordination</t>
  </si>
  <si>
    <t>Submittals and Shop drawings</t>
  </si>
  <si>
    <t>Mobilization Costs</t>
  </si>
  <si>
    <t>Temporary Control &amp; Facilities</t>
  </si>
  <si>
    <t>Scaffolding</t>
  </si>
  <si>
    <t>1. Online sources are used for pricing.</t>
  </si>
  <si>
    <t>2. Prices can vary depending upon field conditions.</t>
  </si>
  <si>
    <t>General Requirements</t>
  </si>
  <si>
    <t>Notes:</t>
  </si>
  <si>
    <t>DIVISION NO</t>
  </si>
  <si>
    <t>SF</t>
  </si>
  <si>
    <t>LF</t>
  </si>
  <si>
    <t>MASONRY</t>
  </si>
  <si>
    <t>Masonry</t>
  </si>
  <si>
    <t>BUILDING GSF</t>
  </si>
  <si>
    <t>Water-Resistive Barrier (WRB)</t>
  </si>
  <si>
    <t>Weep Vent @ 24" O.C</t>
  </si>
  <si>
    <t>4" Face Brick Veneer</t>
  </si>
  <si>
    <t>14 MIL Thick Self-Adhered Wall Flashing</t>
  </si>
  <si>
    <t>0.032" Thick Color-Coated Aluminium Drip Edge</t>
  </si>
  <si>
    <t>Flashing @ Windows</t>
  </si>
  <si>
    <r>
      <rPr>
        <b/>
        <i/>
        <sz val="12"/>
        <color rgb="FFFF0000"/>
        <rFont val="Times New Roman"/>
        <family val="1"/>
      </rPr>
      <t>Note:</t>
    </r>
    <r>
      <rPr>
        <i/>
        <sz val="12"/>
        <color rgb="FFFF0000"/>
        <rFont val="Times New Roman"/>
        <family val="1"/>
      </rPr>
      <t xml:space="preserve"> "The drawings do not provide specific details related to the masonry scope of work on the rear and side elevations. Therefore, we have assumed the masonry details based on the information provided for the front elevation."</t>
    </r>
  </si>
  <si>
    <t>S101 &amp; S102</t>
  </si>
  <si>
    <r>
      <t xml:space="preserve">Hohmann &amp; Barnard Galv. Wall Tie @ 16" O.C Horizontally &amp; Vertically </t>
    </r>
    <r>
      <rPr>
        <b/>
        <sz val="12"/>
        <color theme="1"/>
        <rFont val="Times New Roman"/>
        <family val="1"/>
      </rPr>
      <t>(14 GA)</t>
    </r>
  </si>
  <si>
    <t>Details/ S200</t>
  </si>
  <si>
    <t>HUNTING CREEK CLUB CONDOMINIUM, FAÇADE REHABILITATION, VA 22303</t>
  </si>
  <si>
    <t>WORK AREA GSF</t>
  </si>
  <si>
    <t>OVERHEAD</t>
  </si>
  <si>
    <t>PROFIT</t>
  </si>
  <si>
    <t>BRICK VENEERS</t>
  </si>
  <si>
    <t>CONTROL JOINTS</t>
  </si>
  <si>
    <t>RELIEF ANGLES</t>
  </si>
  <si>
    <t>TERMINATION BAR</t>
  </si>
  <si>
    <t>FLASHINGS</t>
  </si>
  <si>
    <t>DRIP EDGE</t>
  </si>
  <si>
    <t>SEALANT</t>
  </si>
  <si>
    <t>ANCHORS</t>
  </si>
  <si>
    <t>EA</t>
  </si>
  <si>
    <t>VENTS</t>
  </si>
  <si>
    <t>Continuous S.S Termination Bar Secured To CMU
-W/ 1/4" Dia Dewalt Knock @ 8" O.C (1-1/8" Embeded)</t>
  </si>
  <si>
    <r>
      <t xml:space="preserve">Furnish And Install New Retrofit Wall Ties 
</t>
    </r>
    <r>
      <rPr>
        <b/>
        <sz val="12"/>
        <color theme="1"/>
        <rFont val="Times New Roman"/>
        <family val="1"/>
      </rPr>
      <t>Manufacturer:</t>
    </r>
    <r>
      <rPr>
        <sz val="12"/>
        <color theme="1"/>
        <rFont val="Times New Roman"/>
        <family val="1"/>
      </rPr>
      <t xml:space="preserve"> Helifix 
</t>
    </r>
    <r>
      <rPr>
        <b/>
        <sz val="12"/>
        <color theme="1"/>
        <rFont val="Times New Roman"/>
        <family val="1"/>
      </rPr>
      <t xml:space="preserve">Product: </t>
    </r>
    <r>
      <rPr>
        <sz val="12"/>
        <color theme="1"/>
        <rFont val="Times New Roman"/>
        <family val="1"/>
      </rPr>
      <t>10mm Dryfix Austenitic Stainless Steel @ 16" O.C</t>
    </r>
  </si>
  <si>
    <t>LBS</t>
  </si>
  <si>
    <r>
      <t xml:space="preserve">L5x3.5x1/8" Steel Relief Angle @ Concrete Floor Slab </t>
    </r>
    <r>
      <rPr>
        <b/>
        <sz val="12"/>
        <color theme="1"/>
        <rFont val="Times New Roman"/>
        <family val="1"/>
      </rPr>
      <t>(5666 LF)</t>
    </r>
  </si>
  <si>
    <t>1/2"W Vertical Control Joint (Full Depth Of Bricks)</t>
  </si>
  <si>
    <t>Silicon Sealant @ Windows Perimeter</t>
  </si>
  <si>
    <t>EXTERIOR</t>
  </si>
  <si>
    <t>Equipments (Rental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</si>
</sst>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164" formatCode="_-* #,##0.00_-;\-* #,##0.00_-;_-* &quot;-&quot;??_-;_-@_-"/>
    <numFmt numFmtId="165" formatCode="&quot;$&quot;#,##0"/>
    <numFmt numFmtId="166" formatCode="_(&quot;$&quot;* #,##0_);_(&quot;$&quot;* \(#,##0\);_(&quot;$&quot;* &quot;-&quot;??_);_(@_)"/>
    <numFmt numFmtId="167" formatCode="[$$-409]#,##0"/>
    <numFmt numFmtId="168" formatCode="[$-409]d\-mmm\-yy;@"/>
    <numFmt numFmtId="169" formatCode="0.000"/>
  </numFmts>
  <fonts count="33" x14ac:knownFonts="1">
    <font>
      <sz val="11"/>
      <color theme="1"/>
      <name val="Tw Cen MT"/>
      <family val="2"/>
      <scheme val="minor"/>
    </font>
    <font>
      <b/>
      <sz val="12"/>
      <color theme="1"/>
      <name val="Tw Cen MT"/>
      <family val="2"/>
      <scheme val="minor"/>
    </font>
    <font>
      <sz val="14"/>
      <color theme="1"/>
      <name val="Tw Cen MT"/>
      <family val="2"/>
      <scheme val="minor"/>
    </font>
    <font>
      <sz val="11"/>
      <color theme="1"/>
      <name val="Tw Cen MT"/>
      <family val="2"/>
      <scheme val="minor"/>
    </font>
    <font>
      <sz val="12"/>
      <name val="Arial"/>
      <family val="2"/>
    </font>
    <font>
      <b/>
      <sz val="11"/>
      <color theme="0"/>
      <name val="Times New Roman"/>
      <family val="1"/>
    </font>
    <font>
      <b/>
      <sz val="16"/>
      <color theme="0"/>
      <name val="Times New Roman"/>
      <family val="1"/>
    </font>
    <font>
      <b/>
      <sz val="14"/>
      <name val="Times New Roman"/>
      <family val="1"/>
    </font>
    <font>
      <b/>
      <sz val="14"/>
      <color theme="1"/>
      <name val="Times New Roman"/>
      <family val="1"/>
    </font>
    <font>
      <b/>
      <sz val="12"/>
      <color rgb="FF0000B3"/>
      <name val="Times New Roman"/>
      <family val="1"/>
    </font>
    <font>
      <b/>
      <sz val="12"/>
      <color theme="1"/>
      <name val="Times New Roman"/>
      <family val="1"/>
    </font>
    <font>
      <b/>
      <sz val="12"/>
      <color rgb="FF009A88"/>
      <name val="Times New Roman"/>
      <family val="1"/>
    </font>
    <font>
      <b/>
      <sz val="12"/>
      <name val="Times New Roman"/>
      <family val="1"/>
    </font>
    <font>
      <b/>
      <sz val="12"/>
      <color theme="0"/>
      <name val="Times New Roman"/>
      <family val="1"/>
    </font>
    <font>
      <sz val="12"/>
      <name val="Times New Roman"/>
      <family val="1"/>
    </font>
    <font>
      <sz val="12"/>
      <color theme="1"/>
      <name val="Times New Roman"/>
      <family val="1"/>
    </font>
    <font>
      <sz val="11"/>
      <color theme="1"/>
      <name val="Times New Roman"/>
      <family val="1"/>
    </font>
    <font>
      <sz val="12"/>
      <color theme="0"/>
      <name val="Times New Roman"/>
      <family val="1"/>
    </font>
    <font>
      <sz val="14"/>
      <name val="Times New Roman"/>
      <family val="1"/>
    </font>
    <font>
      <b/>
      <sz val="14"/>
      <color rgb="FF009A88"/>
      <name val="Times New Roman"/>
      <family val="1"/>
    </font>
    <font>
      <b/>
      <sz val="11"/>
      <name val="Times New Roman"/>
      <family val="1"/>
    </font>
    <font>
      <b/>
      <sz val="14"/>
      <color theme="0"/>
      <name val="Times New Roman"/>
      <family val="1"/>
    </font>
    <font>
      <b/>
      <sz val="12"/>
      <color rgb="FF0000CC"/>
      <name val="Times New Roman"/>
      <family val="1"/>
    </font>
    <font>
      <sz val="10"/>
      <name val="Times New Roman"/>
      <family val="1"/>
    </font>
    <font>
      <b/>
      <sz val="11"/>
      <color theme="1"/>
      <name val="Tw Cen MT"/>
      <family val="2"/>
      <scheme val="minor"/>
    </font>
    <font>
      <b/>
      <sz val="14"/>
      <color theme="1"/>
      <name val="Tw Cen MT"/>
      <family val="2"/>
      <scheme val="minor"/>
    </font>
    <font>
      <b/>
      <sz val="11"/>
      <color theme="1"/>
      <name val="Times New Roman"/>
      <family val="1"/>
    </font>
    <font>
      <sz val="14"/>
      <color theme="1"/>
      <name val="Times New Roman"/>
      <family val="1"/>
    </font>
    <font>
      <sz val="11"/>
      <color theme="0"/>
      <name val="Times New Roman"/>
      <family val="1"/>
    </font>
    <font>
      <sz val="9"/>
      <color indexed="81"/>
      <name val="Tahoma"/>
      <family val="2"/>
    </font>
    <font>
      <b/>
      <sz val="9"/>
      <color indexed="81"/>
      <name val="Tahoma"/>
      <family val="2"/>
    </font>
    <font>
      <i/>
      <sz val="12"/>
      <color rgb="FFFF0000"/>
      <name val="Times New Roman"/>
      <family val="1"/>
    </font>
    <font>
      <b/>
      <i/>
      <sz val="12"/>
      <color rgb="FFFF0000"/>
      <name val="Times New Roman"/>
      <family val="1"/>
    </font>
  </fonts>
  <fills count="10">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FC000"/>
        <bgColor indexed="64"/>
      </patternFill>
    </fill>
    <fill>
      <patternFill patternType="solid">
        <fgColor rgb="FFFFFFCC"/>
      </patternFill>
    </fill>
    <fill>
      <patternFill patternType="solid">
        <fgColor rgb="FF013554"/>
        <bgColor indexed="64"/>
      </patternFill>
    </fill>
    <fill>
      <patternFill patternType="solid">
        <fgColor rgb="FF00496A"/>
        <bgColor indexed="64"/>
      </patternFill>
    </fill>
    <fill>
      <patternFill patternType="solid">
        <fgColor rgb="FF4A4C4C"/>
        <bgColor indexed="64"/>
      </patternFill>
    </fill>
    <fill>
      <patternFill patternType="solid">
        <fgColor theme="0" tint="-0.249977111117893"/>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style="thin">
        <color indexed="64"/>
      </left>
      <right/>
      <top style="thin">
        <color indexed="64"/>
      </top>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double">
        <color indexed="64"/>
      </top>
      <bottom/>
      <diagonal/>
    </border>
    <border>
      <left/>
      <right/>
      <top style="medium">
        <color indexed="64"/>
      </top>
      <bottom style="medium">
        <color indexed="64"/>
      </bottom>
      <diagonal/>
    </border>
    <border>
      <left style="medium">
        <color indexed="64"/>
      </left>
      <right/>
      <top/>
      <bottom style="double">
        <color indexed="64"/>
      </bottom>
      <diagonal/>
    </border>
    <border>
      <left style="medium">
        <color indexed="64"/>
      </left>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medium">
        <color indexed="64"/>
      </left>
      <right style="thin">
        <color indexed="64"/>
      </right>
      <top style="double">
        <color indexed="64"/>
      </top>
      <bottom/>
      <diagonal/>
    </border>
    <border>
      <left style="thin">
        <color indexed="64"/>
      </left>
      <right style="medium">
        <color indexed="64"/>
      </right>
      <top/>
      <bottom style="thin">
        <color indexed="64"/>
      </bottom>
      <diagonal/>
    </border>
    <border>
      <left/>
      <right/>
      <top style="thin">
        <color theme="0"/>
      </top>
      <bottom style="medium">
        <color indexed="64"/>
      </bottom>
      <diagonal/>
    </border>
    <border>
      <left/>
      <right style="thin">
        <color indexed="64"/>
      </right>
      <top style="thin">
        <color theme="0"/>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style="double">
        <color indexed="64"/>
      </top>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double">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s>
  <cellStyleXfs count="8">
    <xf numFmtId="0" fontId="0" fillId="0" borderId="0"/>
    <xf numFmtId="1" fontId="1" fillId="3" borderId="1">
      <alignment horizontal="center" vertical="center"/>
    </xf>
    <xf numFmtId="44" fontId="3" fillId="0" borderId="0" applyFont="0" applyFill="0" applyBorder="0" applyAlignment="0" applyProtection="0"/>
    <xf numFmtId="44" fontId="3" fillId="0" borderId="0" applyFont="0" applyFill="0" applyBorder="0" applyAlignment="0" applyProtection="0"/>
    <xf numFmtId="0" fontId="4" fillId="0" borderId="0"/>
    <xf numFmtId="0" fontId="3" fillId="5" borderId="25" applyNumberFormat="0" applyFont="0" applyAlignment="0" applyProtection="0"/>
    <xf numFmtId="9" fontId="4" fillId="0" borderId="0" applyFont="0" applyFill="0" applyBorder="0" applyAlignment="0" applyProtection="0"/>
    <xf numFmtId="44" fontId="4" fillId="0" borderId="0" applyFont="0" applyFill="0" applyBorder="0" applyAlignment="0" applyProtection="0"/>
  </cellStyleXfs>
  <cellXfs count="204">
    <xf numFmtId="0" fontId="0" fillId="0" borderId="0" xfId="0"/>
    <xf numFmtId="0" fontId="0" fillId="0" borderId="0" xfId="0" applyAlignment="1">
      <alignment vertical="center"/>
    </xf>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0" fillId="3" borderId="0" xfId="0" applyFill="1" applyAlignment="1">
      <alignment vertical="center"/>
    </xf>
    <xf numFmtId="0" fontId="0" fillId="3" borderId="0" xfId="0" applyFill="1" applyAlignment="1">
      <alignment horizontal="center" vertical="center"/>
    </xf>
    <xf numFmtId="0" fontId="0" fillId="3" borderId="0" xfId="0" applyFill="1"/>
    <xf numFmtId="166" fontId="0" fillId="3" borderId="0" xfId="0" applyNumberFormat="1" applyFill="1"/>
    <xf numFmtId="0" fontId="0" fillId="3" borderId="0" xfId="0" applyFill="1" applyAlignment="1">
      <alignment vertical="center" wrapText="1"/>
    </xf>
    <xf numFmtId="44" fontId="0" fillId="3" borderId="0" xfId="0" applyNumberFormat="1" applyFill="1" applyAlignment="1">
      <alignment vertical="center"/>
    </xf>
    <xf numFmtId="0" fontId="5" fillId="6" borderId="33" xfId="0" applyFont="1" applyFill="1" applyBorder="1" applyAlignment="1">
      <alignment horizontal="center" vertical="center" wrapText="1"/>
    </xf>
    <xf numFmtId="0" fontId="5" fillId="6" borderId="21" xfId="0" applyFont="1" applyFill="1" applyBorder="1" applyAlignment="1">
      <alignment horizontal="center" vertical="center" wrapText="1"/>
    </xf>
    <xf numFmtId="0" fontId="5" fillId="6" borderId="44" xfId="0" applyFont="1" applyFill="1" applyBorder="1" applyAlignment="1">
      <alignment horizontal="center" vertical="center" wrapText="1"/>
    </xf>
    <xf numFmtId="0" fontId="0" fillId="6" borderId="0" xfId="0" applyFill="1" applyAlignment="1">
      <alignment vertical="center"/>
    </xf>
    <xf numFmtId="0" fontId="7" fillId="3" borderId="8" xfId="0" applyFont="1" applyFill="1" applyBorder="1" applyAlignment="1">
      <alignment horizontal="left" vertical="center"/>
    </xf>
    <xf numFmtId="0" fontId="8" fillId="0" borderId="0" xfId="0" applyFont="1" applyAlignment="1">
      <alignment vertical="center" wrapText="1"/>
    </xf>
    <xf numFmtId="0" fontId="12" fillId="0" borderId="11" xfId="0" applyFont="1" applyBorder="1" applyAlignment="1">
      <alignment horizontal="center" vertical="center"/>
    </xf>
    <xf numFmtId="0" fontId="14" fillId="0" borderId="7" xfId="0" applyFont="1" applyBorder="1" applyAlignment="1">
      <alignment vertical="center"/>
    </xf>
    <xf numFmtId="166" fontId="15" fillId="0" borderId="12" xfId="0" applyNumberFormat="1" applyFont="1" applyBorder="1"/>
    <xf numFmtId="166" fontId="13" fillId="8" borderId="9" xfId="2" applyNumberFormat="1" applyFont="1" applyFill="1" applyBorder="1" applyAlignment="1">
      <alignment vertical="center"/>
    </xf>
    <xf numFmtId="0" fontId="13" fillId="7" borderId="8" xfId="0" applyFont="1" applyFill="1" applyBorder="1" applyAlignment="1">
      <alignment horizontal="center" vertical="center"/>
    </xf>
    <xf numFmtId="166" fontId="17" fillId="7" borderId="10" xfId="2" applyNumberFormat="1" applyFont="1" applyFill="1" applyBorder="1" applyAlignment="1">
      <alignment horizontal="center" vertical="center"/>
    </xf>
    <xf numFmtId="44" fontId="17" fillId="7" borderId="10" xfId="2" applyFont="1" applyFill="1" applyBorder="1" applyAlignment="1">
      <alignment horizontal="center" vertical="center"/>
    </xf>
    <xf numFmtId="168" fontId="7" fillId="3" borderId="10" xfId="0" applyNumberFormat="1" applyFont="1" applyFill="1" applyBorder="1" applyAlignment="1">
      <alignment horizontal="center" vertical="center" wrapText="1"/>
    </xf>
    <xf numFmtId="0" fontId="20" fillId="3" borderId="10" xfId="0" applyFont="1" applyFill="1" applyBorder="1" applyAlignment="1">
      <alignment horizontal="right" vertical="center" wrapText="1"/>
    </xf>
    <xf numFmtId="1" fontId="14" fillId="3" borderId="36" xfId="5" applyNumberFormat="1" applyFont="1" applyFill="1" applyBorder="1" applyAlignment="1">
      <alignment horizontal="center" vertical="center"/>
    </xf>
    <xf numFmtId="1" fontId="14" fillId="3" borderId="37" xfId="5" applyNumberFormat="1" applyFont="1" applyFill="1" applyBorder="1" applyAlignment="1">
      <alignment horizontal="center" vertical="center"/>
    </xf>
    <xf numFmtId="0" fontId="15" fillId="0" borderId="38" xfId="0" applyFont="1" applyBorder="1" applyAlignment="1">
      <alignment horizontal="left" vertical="center"/>
    </xf>
    <xf numFmtId="9" fontId="15" fillId="0" borderId="38" xfId="0" applyNumberFormat="1" applyFont="1" applyBorder="1" applyAlignment="1">
      <alignment horizontal="center" vertical="center"/>
    </xf>
    <xf numFmtId="1" fontId="15" fillId="0" borderId="38" xfId="0" applyNumberFormat="1" applyFont="1" applyBorder="1" applyAlignment="1">
      <alignment horizontal="center" vertical="center"/>
    </xf>
    <xf numFmtId="44" fontId="15" fillId="0" borderId="38" xfId="3" applyFont="1" applyBorder="1" applyAlignment="1">
      <alignment horizontal="center" vertical="center"/>
    </xf>
    <xf numFmtId="44" fontId="15" fillId="0" borderId="38" xfId="0" applyNumberFormat="1" applyFont="1" applyBorder="1" applyAlignment="1">
      <alignment horizontal="center" vertical="center" wrapText="1"/>
    </xf>
    <xf numFmtId="44" fontId="15" fillId="0" borderId="27" xfId="0" applyNumberFormat="1" applyFont="1" applyBorder="1" applyAlignment="1">
      <alignment horizontal="center" vertical="center" wrapText="1"/>
    </xf>
    <xf numFmtId="1" fontId="14" fillId="3" borderId="11" xfId="5" applyNumberFormat="1" applyFont="1" applyFill="1" applyBorder="1" applyAlignment="1">
      <alignment horizontal="center" vertical="center"/>
    </xf>
    <xf numFmtId="1" fontId="14" fillId="3" borderId="34" xfId="5" applyNumberFormat="1" applyFont="1" applyFill="1" applyBorder="1" applyAlignment="1">
      <alignment horizontal="center" vertical="center"/>
    </xf>
    <xf numFmtId="0" fontId="15" fillId="0" borderId="1" xfId="0" applyFont="1" applyBorder="1" applyAlignment="1">
      <alignment horizontal="center" vertical="center"/>
    </xf>
    <xf numFmtId="1" fontId="15" fillId="0" borderId="1" xfId="0" applyNumberFormat="1" applyFont="1" applyBorder="1" applyAlignment="1">
      <alignment horizontal="center" vertical="center"/>
    </xf>
    <xf numFmtId="44" fontId="15" fillId="0" borderId="1" xfId="0" applyNumberFormat="1" applyFont="1" applyBorder="1" applyAlignment="1">
      <alignment horizontal="center" vertical="center" wrapText="1"/>
    </xf>
    <xf numFmtId="166" fontId="15" fillId="0" borderId="12" xfId="0" applyNumberFormat="1" applyFont="1" applyBorder="1" applyAlignment="1">
      <alignment horizontal="center" vertical="center" wrapText="1"/>
    </xf>
    <xf numFmtId="0" fontId="10" fillId="8" borderId="39" xfId="0" applyFont="1" applyFill="1" applyBorder="1" applyAlignment="1">
      <alignment vertical="center"/>
    </xf>
    <xf numFmtId="44" fontId="10" fillId="8" borderId="39" xfId="3" applyFont="1" applyFill="1" applyBorder="1" applyAlignment="1">
      <alignment horizontal="right" vertical="center"/>
    </xf>
    <xf numFmtId="44" fontId="13" fillId="8" borderId="39" xfId="0" applyNumberFormat="1" applyFont="1" applyFill="1" applyBorder="1" applyAlignment="1">
      <alignment horizontal="right" vertical="center" wrapText="1"/>
    </xf>
    <xf numFmtId="166" fontId="13" fillId="8" borderId="42" xfId="0" applyNumberFormat="1" applyFont="1" applyFill="1" applyBorder="1" applyAlignment="1">
      <alignment vertical="center" wrapText="1"/>
    </xf>
    <xf numFmtId="0" fontId="13" fillId="6" borderId="41" xfId="0" applyFont="1" applyFill="1" applyBorder="1" applyAlignment="1">
      <alignment horizontal="center" vertical="center"/>
    </xf>
    <xf numFmtId="0" fontId="21" fillId="6" borderId="41" xfId="0" applyFont="1" applyFill="1" applyBorder="1" applyAlignment="1">
      <alignment vertical="center"/>
    </xf>
    <xf numFmtId="0" fontId="13" fillId="6" borderId="39" xfId="0" applyFont="1" applyFill="1" applyBorder="1" applyAlignment="1">
      <alignment vertical="center"/>
    </xf>
    <xf numFmtId="0" fontId="13" fillId="6" borderId="39" xfId="0" applyFont="1" applyFill="1" applyBorder="1" applyAlignment="1">
      <alignment vertical="center" wrapText="1"/>
    </xf>
    <xf numFmtId="0" fontId="13" fillId="6" borderId="42" xfId="0" applyFont="1" applyFill="1" applyBorder="1" applyAlignment="1">
      <alignment vertical="center" wrapText="1"/>
    </xf>
    <xf numFmtId="0" fontId="13" fillId="7" borderId="40" xfId="0" applyFont="1" applyFill="1" applyBorder="1" applyAlignment="1">
      <alignment horizontal="center" vertical="center"/>
    </xf>
    <xf numFmtId="44" fontId="15" fillId="0" borderId="1" xfId="3" applyFont="1" applyFill="1" applyBorder="1" applyAlignment="1">
      <alignment horizontal="center" vertical="center"/>
    </xf>
    <xf numFmtId="0" fontId="10" fillId="0" borderId="1" xfId="0" applyFont="1" applyBorder="1" applyAlignment="1">
      <alignment vertical="center"/>
    </xf>
    <xf numFmtId="1" fontId="22" fillId="0" borderId="34" xfId="0" applyNumberFormat="1" applyFont="1" applyBorder="1" applyAlignment="1">
      <alignment horizontal="center" vertical="center"/>
    </xf>
    <xf numFmtId="0" fontId="22" fillId="0" borderId="1" xfId="0" applyFont="1" applyBorder="1" applyAlignment="1">
      <alignment horizontal="center"/>
    </xf>
    <xf numFmtId="169" fontId="15" fillId="0" borderId="1" xfId="0" applyNumberFormat="1" applyFont="1" applyBorder="1" applyAlignment="1">
      <alignment horizontal="center" vertical="center"/>
    </xf>
    <xf numFmtId="1" fontId="14" fillId="3" borderId="24" xfId="5" applyNumberFormat="1" applyFont="1" applyFill="1" applyBorder="1" applyAlignment="1">
      <alignment horizontal="center" vertical="center"/>
    </xf>
    <xf numFmtId="0" fontId="10" fillId="0" borderId="39" xfId="0" applyFont="1" applyBorder="1" applyAlignment="1">
      <alignment vertical="center"/>
    </xf>
    <xf numFmtId="0" fontId="10" fillId="0" borderId="41" xfId="0" applyFont="1" applyBorder="1" applyAlignment="1">
      <alignment vertical="center" wrapText="1"/>
    </xf>
    <xf numFmtId="0" fontId="10" fillId="0" borderId="41" xfId="0" applyFont="1" applyBorder="1" applyAlignment="1">
      <alignment horizontal="center" vertical="center"/>
    </xf>
    <xf numFmtId="1" fontId="10" fillId="0" borderId="39" xfId="0" applyNumberFormat="1" applyFont="1" applyBorder="1" applyAlignment="1">
      <alignment horizontal="center" vertical="center"/>
    </xf>
    <xf numFmtId="169" fontId="10" fillId="0" borderId="39" xfId="0" applyNumberFormat="1" applyFont="1" applyBorder="1" applyAlignment="1">
      <alignment vertical="center"/>
    </xf>
    <xf numFmtId="44" fontId="10" fillId="0" borderId="39" xfId="3" applyFont="1" applyFill="1" applyBorder="1" applyAlignment="1">
      <alignment horizontal="right" vertical="center"/>
    </xf>
    <xf numFmtId="44" fontId="10" fillId="0" borderId="39" xfId="0" applyNumberFormat="1" applyFont="1" applyBorder="1" applyAlignment="1">
      <alignment horizontal="right" vertical="center" wrapText="1"/>
    </xf>
    <xf numFmtId="166" fontId="10" fillId="0" borderId="42" xfId="3" applyNumberFormat="1" applyFont="1" applyFill="1" applyBorder="1" applyAlignment="1">
      <alignment vertical="center" wrapText="1"/>
    </xf>
    <xf numFmtId="0" fontId="13" fillId="7" borderId="35" xfId="0" applyFont="1" applyFill="1" applyBorder="1" applyAlignment="1">
      <alignment horizontal="left" vertical="center"/>
    </xf>
    <xf numFmtId="9" fontId="13" fillId="7" borderId="4" xfId="0" applyNumberFormat="1" applyFont="1" applyFill="1" applyBorder="1" applyAlignment="1">
      <alignment horizontal="center" vertical="center" wrapText="1"/>
    </xf>
    <xf numFmtId="167" fontId="13" fillId="7" borderId="13" xfId="0" applyNumberFormat="1" applyFont="1" applyFill="1" applyBorder="1" applyAlignment="1">
      <alignment horizontal="center" vertical="center" wrapText="1"/>
    </xf>
    <xf numFmtId="0" fontId="13" fillId="7" borderId="5" xfId="0" applyFont="1" applyFill="1" applyBorder="1" applyAlignment="1">
      <alignment horizontal="left" vertical="center"/>
    </xf>
    <xf numFmtId="9" fontId="13" fillId="7" borderId="1" xfId="0" applyNumberFormat="1" applyFont="1" applyFill="1" applyBorder="1" applyAlignment="1">
      <alignment horizontal="center" vertical="center" wrapText="1"/>
    </xf>
    <xf numFmtId="167" fontId="13" fillId="7" borderId="12" xfId="0" applyNumberFormat="1" applyFont="1" applyFill="1" applyBorder="1" applyAlignment="1">
      <alignment horizontal="center" vertical="center" wrapText="1"/>
    </xf>
    <xf numFmtId="0" fontId="13" fillId="7" borderId="28" xfId="0" applyFont="1" applyFill="1" applyBorder="1" applyAlignment="1">
      <alignment horizontal="left" vertical="center"/>
    </xf>
    <xf numFmtId="0" fontId="13" fillId="7" borderId="28" xfId="0" applyFont="1" applyFill="1" applyBorder="1" applyAlignment="1">
      <alignment horizontal="right" vertical="center"/>
    </xf>
    <xf numFmtId="0" fontId="13" fillId="7" borderId="29" xfId="0" applyFont="1" applyFill="1" applyBorder="1" applyAlignment="1">
      <alignment horizontal="right" vertical="center"/>
    </xf>
    <xf numFmtId="167" fontId="13" fillId="7" borderId="31" xfId="0" applyNumberFormat="1" applyFont="1" applyFill="1" applyBorder="1" applyAlignment="1">
      <alignment horizontal="center" vertical="center" wrapText="1"/>
    </xf>
    <xf numFmtId="167" fontId="13" fillId="8" borderId="27" xfId="0" applyNumberFormat="1" applyFont="1" applyFill="1" applyBorder="1" applyAlignment="1">
      <alignment horizontal="center" vertical="center" wrapText="1"/>
    </xf>
    <xf numFmtId="0" fontId="7" fillId="4" borderId="22" xfId="0" applyFont="1" applyFill="1" applyBorder="1" applyAlignment="1">
      <alignment horizontal="left" vertical="center"/>
    </xf>
    <xf numFmtId="0" fontId="23" fillId="0" borderId="10" xfId="0" applyFont="1" applyBorder="1" applyAlignment="1">
      <alignment horizontal="center" vertical="center" wrapText="1"/>
    </xf>
    <xf numFmtId="0" fontId="23" fillId="0" borderId="15" xfId="0" applyFont="1" applyBorder="1" applyAlignment="1">
      <alignment horizontal="center" vertical="center"/>
    </xf>
    <xf numFmtId="0" fontId="23" fillId="0" borderId="15" xfId="0" applyFont="1" applyBorder="1" applyAlignment="1">
      <alignment horizontal="center" vertical="center" wrapText="1"/>
    </xf>
    <xf numFmtId="0" fontId="23" fillId="0" borderId="16" xfId="0" applyFont="1" applyBorder="1" applyAlignment="1">
      <alignment horizontal="center" vertical="center" wrapText="1"/>
    </xf>
    <xf numFmtId="0" fontId="12" fillId="0" borderId="36" xfId="0" applyFont="1" applyBorder="1" applyAlignment="1">
      <alignment horizontal="center" vertical="center"/>
    </xf>
    <xf numFmtId="0" fontId="14" fillId="0" borderId="43" xfId="0" applyFont="1" applyBorder="1" applyAlignment="1">
      <alignment vertical="center"/>
    </xf>
    <xf numFmtId="166" fontId="15" fillId="0" borderId="27" xfId="0" applyNumberFormat="1" applyFont="1" applyBorder="1"/>
    <xf numFmtId="0" fontId="13" fillId="6" borderId="19" xfId="0" applyFont="1" applyFill="1" applyBorder="1" applyAlignment="1">
      <alignment horizontal="center" vertical="center"/>
    </xf>
    <xf numFmtId="0" fontId="13" fillId="6" borderId="22" xfId="0" applyFont="1" applyFill="1" applyBorder="1" applyAlignment="1">
      <alignment horizontal="center" vertical="center" wrapText="1"/>
    </xf>
    <xf numFmtId="0" fontId="13" fillId="6" borderId="20" xfId="0" applyFont="1" applyFill="1" applyBorder="1" applyAlignment="1">
      <alignment horizontal="center" vertical="center" wrapText="1"/>
    </xf>
    <xf numFmtId="164" fontId="0" fillId="3" borderId="15" xfId="0" applyNumberFormat="1" applyFill="1" applyBorder="1"/>
    <xf numFmtId="0" fontId="0" fillId="3" borderId="15" xfId="0" applyFill="1" applyBorder="1"/>
    <xf numFmtId="0" fontId="13" fillId="8" borderId="8" xfId="0" applyFont="1" applyFill="1" applyBorder="1" applyAlignment="1">
      <alignment horizontal="left" vertical="center"/>
    </xf>
    <xf numFmtId="44" fontId="16" fillId="3" borderId="27" xfId="3" applyFont="1" applyFill="1" applyBorder="1"/>
    <xf numFmtId="169" fontId="14" fillId="3" borderId="37" xfId="5" applyNumberFormat="1" applyFont="1" applyFill="1" applyBorder="1" applyAlignment="1">
      <alignment horizontal="center" vertical="center"/>
    </xf>
    <xf numFmtId="44" fontId="14" fillId="3" borderId="37" xfId="5" applyNumberFormat="1" applyFont="1" applyFill="1" applyBorder="1" applyAlignment="1">
      <alignment horizontal="center" vertical="center"/>
    </xf>
    <xf numFmtId="0" fontId="15" fillId="0" borderId="1" xfId="0" applyFont="1" applyBorder="1" applyAlignment="1">
      <alignment horizontal="left" vertical="center"/>
    </xf>
    <xf numFmtId="0" fontId="9" fillId="3" borderId="0" xfId="0" applyFont="1" applyFill="1" applyAlignment="1">
      <alignment horizontal="right" vertical="center"/>
    </xf>
    <xf numFmtId="0" fontId="11" fillId="3" borderId="0" xfId="0" applyFont="1" applyFill="1" applyAlignment="1">
      <alignment vertical="center" wrapText="1"/>
    </xf>
    <xf numFmtId="168" fontId="12" fillId="3" borderId="0" xfId="0" applyNumberFormat="1" applyFont="1" applyFill="1" applyAlignment="1">
      <alignment horizontal="left" vertical="center"/>
    </xf>
    <xf numFmtId="166" fontId="10" fillId="3" borderId="0" xfId="0" applyNumberFormat="1" applyFont="1" applyFill="1" applyAlignment="1">
      <alignment horizontal="right"/>
    </xf>
    <xf numFmtId="166" fontId="10" fillId="8" borderId="0" xfId="0" applyNumberFormat="1" applyFont="1" applyFill="1" applyAlignment="1">
      <alignment horizontal="right"/>
    </xf>
    <xf numFmtId="0" fontId="0" fillId="8" borderId="0" xfId="0" applyFill="1"/>
    <xf numFmtId="44" fontId="0" fillId="3" borderId="0" xfId="0" applyNumberFormat="1" applyFill="1"/>
    <xf numFmtId="9" fontId="13" fillId="7" borderId="0" xfId="0" applyNumberFormat="1" applyFont="1" applyFill="1" applyAlignment="1">
      <alignment horizontal="center" vertical="center"/>
    </xf>
    <xf numFmtId="0" fontId="8" fillId="0" borderId="0" xfId="0" applyFont="1" applyAlignment="1">
      <alignment horizontal="left" vertical="center"/>
    </xf>
    <xf numFmtId="0" fontId="16" fillId="3" borderId="0" xfId="0" applyFont="1" applyFill="1" applyAlignment="1">
      <alignment vertical="center"/>
    </xf>
    <xf numFmtId="0" fontId="8" fillId="0" borderId="0" xfId="0" applyFont="1" applyAlignment="1">
      <alignment vertical="center"/>
    </xf>
    <xf numFmtId="0" fontId="18" fillId="3" borderId="0" xfId="0" applyFont="1" applyFill="1" applyAlignment="1">
      <alignment horizontal="center" vertical="center"/>
    </xf>
    <xf numFmtId="0" fontId="18" fillId="3" borderId="0" xfId="0" applyFont="1" applyFill="1" applyAlignment="1">
      <alignment horizontal="left" vertical="center" wrapText="1"/>
    </xf>
    <xf numFmtId="0" fontId="16" fillId="0" borderId="0" xfId="0" applyFont="1" applyAlignment="1">
      <alignment horizontal="center" vertical="center"/>
    </xf>
    <xf numFmtId="3" fontId="8" fillId="3" borderId="0" xfId="0" applyNumberFormat="1" applyFont="1" applyFill="1" applyAlignment="1">
      <alignment horizontal="left" vertical="center" wrapText="1"/>
    </xf>
    <xf numFmtId="0" fontId="7" fillId="3" borderId="0" xfId="0" applyFont="1" applyFill="1" applyAlignment="1">
      <alignment vertical="center"/>
    </xf>
    <xf numFmtId="3" fontId="19" fillId="3" borderId="0" xfId="0" applyNumberFormat="1" applyFont="1" applyFill="1" applyAlignment="1">
      <alignment horizontal="left" vertical="center" wrapText="1"/>
    </xf>
    <xf numFmtId="0" fontId="20" fillId="3" borderId="0" xfId="0" applyFont="1" applyFill="1" applyAlignment="1">
      <alignment horizontal="right" vertical="center"/>
    </xf>
    <xf numFmtId="0" fontId="20" fillId="3" borderId="0" xfId="0" applyFont="1" applyFill="1" applyAlignment="1">
      <alignment horizontal="right" vertical="center" wrapText="1"/>
    </xf>
    <xf numFmtId="0" fontId="19" fillId="0" borderId="0" xfId="0" applyFont="1" applyAlignment="1">
      <alignment vertical="center" wrapText="1"/>
    </xf>
    <xf numFmtId="0" fontId="23" fillId="0" borderId="0" xfId="0" applyFont="1" applyAlignment="1">
      <alignment horizontal="center" vertical="center"/>
    </xf>
    <xf numFmtId="0" fontId="23" fillId="0" borderId="0" xfId="0" applyFont="1" applyAlignment="1">
      <alignment horizontal="center" vertical="center" wrapText="1"/>
    </xf>
    <xf numFmtId="0" fontId="8" fillId="3" borderId="0" xfId="0" applyFont="1" applyFill="1" applyAlignment="1">
      <alignment horizontal="left" vertical="center"/>
    </xf>
    <xf numFmtId="0" fontId="15" fillId="0" borderId="1" xfId="0" applyFont="1" applyBorder="1" applyAlignment="1">
      <alignment wrapText="1"/>
    </xf>
    <xf numFmtId="0" fontId="17" fillId="6" borderId="24" xfId="0" applyFont="1" applyFill="1" applyBorder="1" applyAlignment="1">
      <alignment horizontal="center" vertical="center"/>
    </xf>
    <xf numFmtId="0" fontId="15" fillId="8" borderId="24" xfId="0" applyFont="1" applyFill="1" applyBorder="1" applyAlignment="1">
      <alignment horizontal="center" vertical="center"/>
    </xf>
    <xf numFmtId="0" fontId="15" fillId="0" borderId="11" xfId="0" applyFont="1" applyBorder="1" applyAlignment="1">
      <alignment horizontal="center" vertical="center"/>
    </xf>
    <xf numFmtId="0" fontId="13" fillId="7" borderId="39" xfId="0" applyFont="1" applyFill="1" applyBorder="1" applyAlignment="1">
      <alignment horizontal="center" vertical="center"/>
    </xf>
    <xf numFmtId="0" fontId="15" fillId="0" borderId="24" xfId="0" applyFont="1" applyBorder="1" applyAlignment="1">
      <alignment horizontal="center" vertical="center"/>
    </xf>
    <xf numFmtId="0" fontId="15" fillId="0" borderId="0" xfId="0" applyFont="1" applyAlignment="1">
      <alignment horizontal="center" vertical="center"/>
    </xf>
    <xf numFmtId="0" fontId="8" fillId="0" borderId="0" xfId="0" applyFont="1" applyAlignment="1">
      <alignment horizontal="center" vertical="center"/>
    </xf>
    <xf numFmtId="0" fontId="7" fillId="3" borderId="0" xfId="0" applyFont="1" applyFill="1" applyAlignment="1">
      <alignment horizontal="center" vertical="center"/>
    </xf>
    <xf numFmtId="0" fontId="17" fillId="6" borderId="39" xfId="0" applyFont="1" applyFill="1" applyBorder="1" applyAlignment="1">
      <alignment horizontal="center" vertical="center"/>
    </xf>
    <xf numFmtId="0" fontId="10" fillId="8" borderId="39" xfId="0" applyFont="1" applyFill="1" applyBorder="1" applyAlignment="1">
      <alignment horizontal="center" vertical="center"/>
    </xf>
    <xf numFmtId="0" fontId="10" fillId="0" borderId="40" xfId="0" applyFont="1" applyBorder="1" applyAlignment="1">
      <alignment horizontal="center" vertical="center"/>
    </xf>
    <xf numFmtId="0" fontId="10" fillId="0" borderId="39" xfId="0" applyFont="1" applyBorder="1" applyAlignment="1">
      <alignment horizontal="center" vertical="center"/>
    </xf>
    <xf numFmtId="0" fontId="13" fillId="7" borderId="35" xfId="0" applyFont="1" applyFill="1" applyBorder="1" applyAlignment="1">
      <alignment horizontal="center" vertical="center"/>
    </xf>
    <xf numFmtId="0" fontId="13" fillId="7" borderId="5" xfId="0" applyFont="1" applyFill="1" applyBorder="1" applyAlignment="1">
      <alignment horizontal="center" vertical="center"/>
    </xf>
    <xf numFmtId="0" fontId="13" fillId="7" borderId="28" xfId="0" applyFont="1" applyFill="1" applyBorder="1" applyAlignment="1">
      <alignment horizontal="center" vertical="center"/>
    </xf>
    <xf numFmtId="0" fontId="7" fillId="4" borderId="20" xfId="0" applyFont="1" applyFill="1" applyBorder="1" applyAlignment="1">
      <alignment horizontal="center" vertical="center"/>
    </xf>
    <xf numFmtId="0" fontId="16" fillId="0" borderId="15" xfId="0" applyFont="1" applyBorder="1" applyAlignment="1">
      <alignment horizontal="center" vertical="center" wrapText="1"/>
    </xf>
    <xf numFmtId="0" fontId="25" fillId="2" borderId="2" xfId="0" applyFont="1" applyFill="1" applyBorder="1" applyAlignment="1">
      <alignment horizontal="center" vertical="center" wrapText="1"/>
    </xf>
    <xf numFmtId="1" fontId="12" fillId="3" borderId="37" xfId="5" applyNumberFormat="1" applyFont="1" applyFill="1" applyBorder="1" applyAlignment="1">
      <alignment horizontal="center" vertical="center"/>
    </xf>
    <xf numFmtId="1" fontId="12" fillId="3" borderId="34" xfId="5" applyNumberFormat="1" applyFont="1" applyFill="1" applyBorder="1" applyAlignment="1">
      <alignment horizontal="center" vertical="center"/>
    </xf>
    <xf numFmtId="0" fontId="10" fillId="0" borderId="0" xfId="0" applyFont="1" applyAlignment="1">
      <alignment horizontal="left" vertical="center"/>
    </xf>
    <xf numFmtId="0" fontId="26" fillId="0" borderId="15" xfId="0" applyFont="1" applyBorder="1" applyAlignment="1">
      <alignment vertical="center" wrapText="1"/>
    </xf>
    <xf numFmtId="0" fontId="24" fillId="3" borderId="0" xfId="0" applyFont="1" applyFill="1" applyAlignment="1">
      <alignment vertical="center"/>
    </xf>
    <xf numFmtId="0" fontId="16" fillId="0" borderId="14" xfId="0" applyFont="1" applyBorder="1" applyAlignment="1">
      <alignment horizontal="center" vertical="center" wrapText="1"/>
    </xf>
    <xf numFmtId="0" fontId="18" fillId="3" borderId="8" xfId="0" applyFont="1" applyFill="1" applyBorder="1" applyAlignment="1">
      <alignment horizontal="center" vertical="center"/>
    </xf>
    <xf numFmtId="0" fontId="27" fillId="0" borderId="23" xfId="0" applyFont="1" applyBorder="1" applyAlignment="1">
      <alignment horizontal="center" vertical="center"/>
    </xf>
    <xf numFmtId="0" fontId="28" fillId="6" borderId="26" xfId="0" applyFont="1" applyFill="1" applyBorder="1" applyAlignment="1">
      <alignment horizontal="center" vertical="center" wrapText="1"/>
    </xf>
    <xf numFmtId="0" fontId="18" fillId="4" borderId="19" xfId="0" applyFont="1" applyFill="1" applyBorder="1" applyAlignment="1">
      <alignment horizontal="center" vertical="center"/>
    </xf>
    <xf numFmtId="1" fontId="13" fillId="8" borderId="0" xfId="0" applyNumberFormat="1" applyFont="1" applyFill="1" applyAlignment="1">
      <alignment horizontal="center"/>
    </xf>
    <xf numFmtId="0" fontId="10" fillId="8" borderId="41" xfId="0" applyFont="1" applyFill="1" applyBorder="1" applyAlignment="1">
      <alignment vertical="center"/>
    </xf>
    <xf numFmtId="0" fontId="15" fillId="8" borderId="45" xfId="0" applyFont="1" applyFill="1" applyBorder="1" applyAlignment="1">
      <alignment horizontal="center" vertical="center"/>
    </xf>
    <xf numFmtId="0" fontId="10" fillId="8" borderId="41" xfId="0" applyFont="1" applyFill="1" applyBorder="1" applyAlignment="1">
      <alignment horizontal="center" vertical="center"/>
    </xf>
    <xf numFmtId="44" fontId="10" fillId="8" borderId="41" xfId="3" applyFont="1" applyFill="1" applyBorder="1" applyAlignment="1">
      <alignment horizontal="right" vertical="center"/>
    </xf>
    <xf numFmtId="44" fontId="13" fillId="8" borderId="41" xfId="0" applyNumberFormat="1" applyFont="1" applyFill="1" applyBorder="1" applyAlignment="1">
      <alignment horizontal="right" vertical="center" wrapText="1"/>
    </xf>
    <xf numFmtId="166" fontId="13" fillId="8" borderId="46" xfId="0" applyNumberFormat="1" applyFont="1" applyFill="1" applyBorder="1" applyAlignment="1">
      <alignment vertical="center" wrapText="1"/>
    </xf>
    <xf numFmtId="3" fontId="8" fillId="3" borderId="0" xfId="0" applyNumberFormat="1" applyFont="1" applyFill="1" applyAlignment="1">
      <alignment horizontal="left" vertical="center"/>
    </xf>
    <xf numFmtId="0" fontId="15" fillId="0" borderId="8" xfId="0" applyFont="1" applyBorder="1" applyAlignment="1">
      <alignment horizontal="left" vertical="top"/>
    </xf>
    <xf numFmtId="0" fontId="21" fillId="8" borderId="8" xfId="0" applyFont="1" applyFill="1" applyBorder="1" applyAlignment="1">
      <alignment horizontal="center" vertical="center"/>
    </xf>
    <xf numFmtId="0" fontId="21" fillId="8" borderId="0" xfId="0" applyFont="1" applyFill="1" applyAlignment="1">
      <alignment horizontal="center" vertical="center"/>
    </xf>
    <xf numFmtId="0" fontId="21" fillId="8" borderId="2" xfId="0" applyFont="1" applyFill="1" applyBorder="1" applyAlignment="1">
      <alignment horizontal="center" vertical="center"/>
    </xf>
    <xf numFmtId="0" fontId="21" fillId="8" borderId="32" xfId="0" applyFont="1" applyFill="1" applyBorder="1" applyAlignment="1">
      <alignment horizontal="center" vertical="center"/>
    </xf>
    <xf numFmtId="0" fontId="13" fillId="7" borderId="5" xfId="0" applyFont="1" applyFill="1" applyBorder="1" applyAlignment="1">
      <alignment horizontal="right" vertical="center"/>
    </xf>
    <xf numFmtId="0" fontId="13" fillId="7" borderId="6" xfId="0" applyFont="1" applyFill="1" applyBorder="1" applyAlignment="1">
      <alignment horizontal="right" vertical="center"/>
    </xf>
    <xf numFmtId="0" fontId="15" fillId="0" borderId="38" xfId="0" applyFont="1" applyBorder="1" applyAlignment="1">
      <alignment horizontal="center" vertical="center"/>
    </xf>
    <xf numFmtId="0" fontId="15" fillId="0" borderId="40" xfId="0" applyFont="1" applyBorder="1" applyAlignment="1">
      <alignment horizontal="center" vertical="center"/>
    </xf>
    <xf numFmtId="0" fontId="13" fillId="7" borderId="35" xfId="0" applyFont="1" applyFill="1" applyBorder="1" applyAlignment="1">
      <alignment horizontal="right" vertical="center"/>
    </xf>
    <xf numFmtId="0" fontId="13" fillId="7" borderId="37" xfId="0" applyFont="1" applyFill="1" applyBorder="1" applyAlignment="1">
      <alignment horizontal="right" vertical="center"/>
    </xf>
    <xf numFmtId="0" fontId="13" fillId="7" borderId="37" xfId="0" applyFont="1" applyFill="1" applyBorder="1" applyAlignment="1">
      <alignment vertical="center" wrapText="1"/>
    </xf>
    <xf numFmtId="165" fontId="13" fillId="7" borderId="47" xfId="0" applyNumberFormat="1" applyFont="1" applyFill="1" applyBorder="1" applyAlignment="1">
      <alignment horizontal="center" vertical="center" wrapText="1"/>
    </xf>
    <xf numFmtId="0" fontId="10" fillId="0" borderId="39" xfId="0" applyFont="1" applyBorder="1" applyAlignment="1">
      <alignment vertical="center" wrapText="1"/>
    </xf>
    <xf numFmtId="166" fontId="10" fillId="0" borderId="34" xfId="3" applyNumberFormat="1" applyFont="1" applyFill="1" applyBorder="1" applyAlignment="1">
      <alignment vertical="center" wrapText="1"/>
    </xf>
    <xf numFmtId="0" fontId="31" fillId="0" borderId="1" xfId="0" applyFont="1" applyBorder="1" applyAlignment="1">
      <alignment wrapText="1"/>
    </xf>
    <xf numFmtId="0" fontId="10" fillId="9" borderId="1" xfId="0" applyFont="1" applyFill="1" applyBorder="1" applyAlignment="1">
      <alignment wrapText="1"/>
    </xf>
    <xf numFmtId="10" fontId="13" fillId="7" borderId="30" xfId="0" applyNumberFormat="1" applyFont="1" applyFill="1" applyBorder="1" applyAlignment="1">
      <alignment horizontal="center" vertical="center" wrapText="1"/>
    </xf>
    <xf numFmtId="0" fontId="13" fillId="7" borderId="24" xfId="0" applyFont="1" applyFill="1" applyBorder="1" applyAlignment="1">
      <alignment horizontal="left" vertical="center"/>
    </xf>
    <xf numFmtId="0" fontId="26" fillId="6" borderId="21" xfId="0" applyFont="1" applyFill="1" applyBorder="1" applyAlignment="1">
      <alignment horizontal="center" vertical="center" wrapText="1"/>
    </xf>
    <xf numFmtId="0" fontId="10" fillId="6" borderId="1" xfId="0" applyFont="1" applyFill="1" applyBorder="1" applyAlignment="1">
      <alignment vertical="center"/>
    </xf>
    <xf numFmtId="44" fontId="10" fillId="6" borderId="1" xfId="0" applyNumberFormat="1" applyFont="1" applyFill="1" applyBorder="1" applyAlignment="1">
      <alignment vertical="center"/>
    </xf>
    <xf numFmtId="0" fontId="15" fillId="6" borderId="1" xfId="0" applyFont="1" applyFill="1" applyBorder="1" applyAlignment="1">
      <alignment vertical="center"/>
    </xf>
    <xf numFmtId="44" fontId="15" fillId="6" borderId="1" xfId="0" applyNumberFormat="1" applyFont="1" applyFill="1" applyBorder="1" applyAlignment="1">
      <alignment vertical="center"/>
    </xf>
    <xf numFmtId="0" fontId="8" fillId="0" borderId="8" xfId="0" applyFont="1" applyBorder="1" applyAlignment="1">
      <alignment horizontal="left" vertical="center"/>
    </xf>
    <xf numFmtId="0" fontId="7" fillId="3" borderId="8" xfId="0" applyFont="1" applyFill="1" applyBorder="1" applyAlignment="1">
      <alignment horizontal="center" vertical="center"/>
    </xf>
    <xf numFmtId="1" fontId="14" fillId="3" borderId="45" xfId="5" applyNumberFormat="1" applyFont="1" applyFill="1" applyBorder="1" applyAlignment="1">
      <alignment horizontal="center" vertical="center"/>
    </xf>
    <xf numFmtId="0" fontId="10" fillId="0" borderId="0" xfId="0" applyFont="1" applyAlignment="1">
      <alignment horizontal="center" vertical="center"/>
    </xf>
    <xf numFmtId="0" fontId="31" fillId="0" borderId="41" xfId="0" applyFont="1" applyBorder="1" applyAlignment="1">
      <alignment wrapText="1"/>
    </xf>
    <xf numFmtId="0" fontId="15" fillId="0" borderId="41" xfId="0" applyFont="1" applyBorder="1" applyAlignment="1">
      <alignment horizontal="center" vertical="center"/>
    </xf>
    <xf numFmtId="1" fontId="15" fillId="0" borderId="41" xfId="0" applyNumberFormat="1" applyFont="1" applyBorder="1" applyAlignment="1">
      <alignment horizontal="center" vertical="center"/>
    </xf>
    <xf numFmtId="9" fontId="15" fillId="0" borderId="0" xfId="0" applyNumberFormat="1" applyFont="1" applyAlignment="1">
      <alignment horizontal="center" vertical="center"/>
    </xf>
    <xf numFmtId="1" fontId="15" fillId="0" borderId="0" xfId="0" applyNumberFormat="1" applyFont="1" applyAlignment="1">
      <alignment horizontal="center" vertical="center"/>
    </xf>
    <xf numFmtId="169" fontId="14" fillId="3" borderId="0" xfId="5" applyNumberFormat="1" applyFont="1" applyFill="1" applyBorder="1" applyAlignment="1">
      <alignment horizontal="center" vertical="center"/>
    </xf>
    <xf numFmtId="44" fontId="14" fillId="3" borderId="0" xfId="5" applyNumberFormat="1" applyFont="1" applyFill="1" applyBorder="1" applyAlignment="1">
      <alignment horizontal="center" vertical="center"/>
    </xf>
    <xf numFmtId="44" fontId="15" fillId="0" borderId="0" xfId="3" applyFont="1" applyBorder="1" applyAlignment="1">
      <alignment horizontal="center" vertical="center"/>
    </xf>
    <xf numFmtId="44" fontId="15" fillId="0" borderId="0" xfId="0" applyNumberFormat="1" applyFont="1" applyAlignment="1">
      <alignment horizontal="center" vertical="center" wrapText="1"/>
    </xf>
    <xf numFmtId="44" fontId="15" fillId="0" borderId="10" xfId="0" applyNumberFormat="1" applyFont="1" applyBorder="1" applyAlignment="1">
      <alignment horizontal="center" vertical="center" wrapText="1"/>
    </xf>
    <xf numFmtId="0" fontId="15" fillId="3" borderId="1" xfId="0" applyFont="1" applyFill="1" applyBorder="1" applyAlignment="1">
      <alignment wrapText="1"/>
    </xf>
    <xf numFmtId="0" fontId="6" fillId="6" borderId="19" xfId="0" applyFont="1" applyFill="1" applyBorder="1" applyAlignment="1">
      <alignment horizontal="center" vertical="center"/>
    </xf>
    <xf numFmtId="0" fontId="6" fillId="6" borderId="22" xfId="0" applyFont="1" applyFill="1" applyBorder="1" applyAlignment="1">
      <alignment horizontal="center" vertical="center"/>
    </xf>
    <xf numFmtId="0" fontId="13" fillId="8" borderId="9" xfId="0" applyFont="1" applyFill="1" applyBorder="1" applyAlignment="1">
      <alignment horizontal="center" vertical="center"/>
    </xf>
    <xf numFmtId="49" fontId="12" fillId="0" borderId="9" xfId="0" applyNumberFormat="1" applyFont="1" applyBorder="1" applyAlignment="1">
      <alignment horizontal="center" vertical="center"/>
    </xf>
    <xf numFmtId="0" fontId="13" fillId="8" borderId="17" xfId="0" applyFont="1" applyFill="1" applyBorder="1" applyAlignment="1">
      <alignment horizontal="center" vertical="center"/>
    </xf>
    <xf numFmtId="0" fontId="13" fillId="8" borderId="18" xfId="0" applyFont="1" applyFill="1" applyBorder="1" applyAlignment="1">
      <alignment horizontal="center" vertical="center"/>
    </xf>
    <xf numFmtId="0" fontId="15" fillId="0" borderId="7" xfId="0" applyFont="1" applyBorder="1" applyAlignment="1">
      <alignment horizontal="center" vertical="center"/>
    </xf>
    <xf numFmtId="0" fontId="15" fillId="0" borderId="43" xfId="0" applyFont="1" applyBorder="1" applyAlignment="1">
      <alignment horizontal="center" vertical="center"/>
    </xf>
    <xf numFmtId="0" fontId="15" fillId="0" borderId="38" xfId="0" applyFont="1" applyBorder="1" applyAlignment="1">
      <alignment horizontal="center" vertical="center"/>
    </xf>
    <xf numFmtId="0" fontId="10" fillId="0" borderId="7" xfId="0" applyFont="1" applyBorder="1" applyAlignment="1">
      <alignment horizontal="center" vertical="center"/>
    </xf>
    <xf numFmtId="0" fontId="10" fillId="0" borderId="43" xfId="0" applyFont="1" applyBorder="1" applyAlignment="1">
      <alignment horizontal="center" vertical="center"/>
    </xf>
    <xf numFmtId="0" fontId="10" fillId="0" borderId="38" xfId="0" applyFont="1" applyBorder="1" applyAlignment="1">
      <alignment horizontal="center" vertical="center"/>
    </xf>
    <xf numFmtId="0" fontId="6" fillId="6" borderId="20" xfId="0" applyFont="1" applyFill="1" applyBorder="1" applyAlignment="1">
      <alignment horizontal="center" vertical="center"/>
    </xf>
  </cellXfs>
  <cellStyles count="8">
    <cellStyle name="Currency" xfId="3" builtinId="4"/>
    <cellStyle name="Currency 2" xfId="2" xr:uid="{00000000-0005-0000-0000-000001000000}"/>
    <cellStyle name="Currency 3" xfId="7" xr:uid="{00000000-0005-0000-0000-000002000000}"/>
    <cellStyle name="Normal" xfId="0" builtinId="0"/>
    <cellStyle name="Normal 2 3" xfId="4" xr:uid="{00000000-0005-0000-0000-000004000000}"/>
    <cellStyle name="Note" xfId="5" builtinId="10"/>
    <cellStyle name="Percent 2" xfId="6" xr:uid="{00000000-0005-0000-0000-000006000000}"/>
    <cellStyle name="Style 1" xfId="1" xr:uid="{00000000-0005-0000-0000-000007000000}"/>
  </cellStyles>
  <dxfs count="0"/>
  <tableStyles count="0" defaultTableStyle="TableStyleMedium9" defaultPivotStyle="PivotStyleLight16"/>
  <colors>
    <mruColors>
      <color rgb="FF4A4C4C"/>
      <color rgb="FF013554"/>
      <color rgb="FF00496A"/>
      <color rgb="FF001521"/>
      <color rgb="FF00A6A5"/>
      <color rgb="FF00C8C3"/>
      <color rgb="FF00A8A4"/>
      <color rgb="FF00DED9"/>
      <color rgb="FF00BCB8"/>
      <color rgb="FF00DA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en-US"/>
        </a:p>
      </c:txPr>
    </c:title>
    <c:autoTitleDeleted val="0"/>
    <c:plotArea>
      <c:layout/>
      <c:barChart>
        <c:barDir val="col"/>
        <c:grouping val="clustered"/>
        <c:varyColors val="0"/>
        <c:ser>
          <c:idx val="0"/>
          <c:order val="0"/>
          <c:tx>
            <c:v>DIVISION COST COMPARISON</c:v>
          </c:tx>
          <c:spPr>
            <a:noFill/>
            <a:ln w="9525" cap="flat" cmpd="sng" algn="ctr">
              <a:solidFill>
                <a:schemeClr val="accent1"/>
              </a:solidFill>
              <a:miter lim="800000"/>
            </a:ln>
            <a:effectLst>
              <a:glow rad="63500">
                <a:schemeClr val="accent1">
                  <a:satMod val="175000"/>
                  <a:alpha val="25000"/>
                </a:schemeClr>
              </a:glow>
            </a:effectLst>
          </c:spPr>
          <c:invertIfNegative val="0"/>
          <c:val>
            <c:numRef>
              <c:f>'General Summary'!#REF!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'General Summary'!#REF!</c15:sqref>
                        </c15:formulaRef>
                      </c:ext>
                    </c:extLst>
                  </c:multiLvlStrRef>
                </c15:cat>
              </c15:filteredCategoryTitle>
            </c:ext>
            <c:ext xmlns:c16="http://schemas.microsoft.com/office/drawing/2014/chart" uri="{C3380CC4-5D6E-409C-BE32-E72D297353CC}">
              <c16:uniqueId val="{00000000-0B91-4B03-9E9F-BBB158467410}"/>
            </c:ext>
          </c:extLst>
        </c:ser>
        <c:dLbls>
          <c:showLegendKey val="0"/>
          <c:showVal val="0"/>
          <c:showCatName val="0"/>
          <c:showSerName val="0"/>
          <c:showPercent val="0"/>
          <c:showBubbleSize val="0"/>
        </c:dLbls>
        <c:gapWidth val="315"/>
        <c:overlap val="-40"/>
        <c:axId val="525215184"/>
        <c:axId val="525188976"/>
      </c:barChart>
      <c:catAx>
        <c:axId val="525215184"/>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525188976"/>
        <c:crosses val="autoZero"/>
        <c:auto val="1"/>
        <c:lblAlgn val="ctr"/>
        <c:lblOffset val="100"/>
        <c:noMultiLvlLbl val="0"/>
      </c:catAx>
      <c:valAx>
        <c:axId val="525188976"/>
        <c:scaling>
          <c:orientation val="minMax"/>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52521518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3">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4</xdr:col>
      <xdr:colOff>0</xdr:colOff>
      <xdr:row>8</xdr:row>
      <xdr:rowOff>11205</xdr:rowOff>
    </xdr:from>
    <xdr:to>
      <xdr:col>10</xdr:col>
      <xdr:colOff>0</xdr:colOff>
      <xdr:row>19</xdr:row>
      <xdr:rowOff>0</xdr:rowOff>
    </xdr:to>
    <xdr:graphicFrame macro="">
      <xdr:nvGraphicFramePr>
        <xdr:cNvPr id="3" name="Chart 2">
          <a:extLst>
            <a:ext uri="{FF2B5EF4-FFF2-40B4-BE49-F238E27FC236}">
              <a16:creationId xmlns:a16="http://schemas.microsoft.com/office/drawing/2014/main" id="{1E996350-FD32-49C7-9023-CB12781C32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342900</xdr:colOff>
      <xdr:row>1</xdr:row>
      <xdr:rowOff>114300</xdr:rowOff>
    </xdr:from>
    <xdr:to>
      <xdr:col>9</xdr:col>
      <xdr:colOff>558800</xdr:colOff>
      <xdr:row>4</xdr:row>
      <xdr:rowOff>206679</xdr:rowOff>
    </xdr:to>
    <xdr:pic>
      <xdr:nvPicPr>
        <xdr:cNvPr id="2" name="Picture 1">
          <a:extLst>
            <a:ext uri="{FF2B5EF4-FFF2-40B4-BE49-F238E27FC236}">
              <a16:creationId xmlns:a16="http://schemas.microsoft.com/office/drawing/2014/main" id="{29116D7A-7C9D-66C4-3A57-544F59433C23}"/>
            </a:ext>
          </a:extLst>
        </xdr:cNvPr>
        <xdr:cNvPicPr>
          <a:picLocks noChangeAspect="1"/>
        </xdr:cNvPicPr>
      </xdr:nvPicPr>
      <xdr:blipFill>
        <a:blip xmlns:r="http://schemas.openxmlformats.org/officeDocument/2006/relationships" r:embed="rId2"/>
        <a:stretch>
          <a:fillRect/>
        </a:stretch>
      </xdr:blipFill>
      <xdr:spPr>
        <a:xfrm>
          <a:off x="10998200" y="381000"/>
          <a:ext cx="901700" cy="7781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457200</xdr:colOff>
      <xdr:row>1</xdr:row>
      <xdr:rowOff>0</xdr:rowOff>
    </xdr:from>
    <xdr:ext cx="184731" cy="264560"/>
    <xdr:sp macro="" textlink="">
      <xdr:nvSpPr>
        <xdr:cNvPr id="2" name="TextBox 1">
          <a:extLst>
            <a:ext uri="{FF2B5EF4-FFF2-40B4-BE49-F238E27FC236}">
              <a16:creationId xmlns:a16="http://schemas.microsoft.com/office/drawing/2014/main" id="{7346B46F-1C11-44A5-B072-D4140C874176}"/>
            </a:ext>
          </a:extLst>
        </xdr:cNvPr>
        <xdr:cNvSpPr txBox="1"/>
      </xdr:nvSpPr>
      <xdr:spPr>
        <a:xfrm>
          <a:off x="4572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3</xdr:col>
      <xdr:colOff>457200</xdr:colOff>
      <xdr:row>1</xdr:row>
      <xdr:rowOff>0</xdr:rowOff>
    </xdr:from>
    <xdr:ext cx="184731" cy="264560"/>
    <xdr:sp macro="" textlink="">
      <xdr:nvSpPr>
        <xdr:cNvPr id="3" name="TextBox 2">
          <a:extLst>
            <a:ext uri="{FF2B5EF4-FFF2-40B4-BE49-F238E27FC236}">
              <a16:creationId xmlns:a16="http://schemas.microsoft.com/office/drawing/2014/main" id="{7184BC96-2478-4519-B754-1E767AB7879C}"/>
            </a:ext>
          </a:extLst>
        </xdr:cNvPr>
        <xdr:cNvSpPr txBox="1"/>
      </xdr:nvSpPr>
      <xdr:spPr>
        <a:xfrm>
          <a:off x="43878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3</xdr:col>
      <xdr:colOff>0</xdr:colOff>
      <xdr:row>1</xdr:row>
      <xdr:rowOff>0</xdr:rowOff>
    </xdr:from>
    <xdr:ext cx="184731" cy="264560"/>
    <xdr:sp macro="" textlink="">
      <xdr:nvSpPr>
        <xdr:cNvPr id="4" name="TextBox 3">
          <a:extLst>
            <a:ext uri="{FF2B5EF4-FFF2-40B4-BE49-F238E27FC236}">
              <a16:creationId xmlns:a16="http://schemas.microsoft.com/office/drawing/2014/main" id="{D2546618-C6E5-4304-918C-37ED129CCA72}"/>
            </a:ext>
          </a:extLst>
        </xdr:cNvPr>
        <xdr:cNvSpPr txBox="1"/>
      </xdr:nvSpPr>
      <xdr:spPr>
        <a:xfrm>
          <a:off x="39306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twoCellAnchor editAs="oneCell">
    <xdr:from>
      <xdr:col>12</xdr:col>
      <xdr:colOff>832555</xdr:colOff>
      <xdr:row>2</xdr:row>
      <xdr:rowOff>127000</xdr:rowOff>
    </xdr:from>
    <xdr:to>
      <xdr:col>13</xdr:col>
      <xdr:colOff>646039</xdr:colOff>
      <xdr:row>6</xdr:row>
      <xdr:rowOff>2068</xdr:rowOff>
    </xdr:to>
    <xdr:pic>
      <xdr:nvPicPr>
        <xdr:cNvPr id="6" name="Picture 5">
          <a:extLst>
            <a:ext uri="{FF2B5EF4-FFF2-40B4-BE49-F238E27FC236}">
              <a16:creationId xmlns:a16="http://schemas.microsoft.com/office/drawing/2014/main" id="{8A985162-4B46-144B-8FBE-F44963AAD327}"/>
            </a:ext>
          </a:extLst>
        </xdr:cNvPr>
        <xdr:cNvPicPr>
          <a:picLocks noChangeAspect="1"/>
        </xdr:cNvPicPr>
      </xdr:nvPicPr>
      <xdr:blipFill>
        <a:blip xmlns:r="http://schemas.openxmlformats.org/officeDocument/2006/relationships" r:embed="rId1"/>
        <a:stretch>
          <a:fillRect/>
        </a:stretch>
      </xdr:blipFill>
      <xdr:spPr>
        <a:xfrm>
          <a:off x="16594666" y="395111"/>
          <a:ext cx="901700" cy="778179"/>
        </a:xfrm>
        <a:prstGeom prst="rect">
          <a:avLst/>
        </a:prstGeom>
      </xdr:spPr>
    </xdr:pic>
    <xdr:clientData/>
  </xdr:two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Integral">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Integral">
      <a:majorFont>
        <a:latin typeface="Tw Cen MT Condensed" panose="020B0606020104020203"/>
        <a:ea typeface=""/>
        <a:cs typeface=""/>
        <a:font script="Grek" typeface="Calibri"/>
        <a:font script="Cyrl" typeface="Calibri"/>
        <a:font script="Jpan" typeface="メイリオ"/>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Tw Cen MT" panose="020B0602020104020603"/>
        <a:ea typeface=""/>
        <a:cs typeface=""/>
        <a:font script="Grek" typeface="Calibri"/>
        <a:font script="Cyrl" typeface="Calibri"/>
        <a:font script="Jpan" typeface="メイリオ"/>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Integral">
      <a:fillStyleLst>
        <a:solidFill>
          <a:schemeClr val="phClr"/>
        </a:solidFill>
        <a:gradFill rotWithShape="1">
          <a:gsLst>
            <a:gs pos="0">
              <a:schemeClr val="phClr">
                <a:tint val="83000"/>
                <a:satMod val="100000"/>
                <a:lumMod val="100000"/>
              </a:schemeClr>
            </a:gs>
            <a:gs pos="100000">
              <a:schemeClr val="phClr">
                <a:tint val="61000"/>
                <a:satMod val="150000"/>
                <a:lumMod val="100000"/>
              </a:schemeClr>
            </a:gs>
          </a:gsLst>
          <a:path path="circle">
            <a:fillToRect l="100000" t="100000" r="100000" b="100000"/>
          </a:path>
        </a:gradFill>
        <a:gradFill rotWithShape="1">
          <a:gsLst>
            <a:gs pos="0">
              <a:schemeClr val="phClr">
                <a:tint val="100000"/>
                <a:shade val="85000"/>
                <a:satMod val="100000"/>
                <a:lumMod val="100000"/>
              </a:schemeClr>
            </a:gs>
            <a:gs pos="100000">
              <a:schemeClr val="phClr">
                <a:tint val="90000"/>
                <a:shade val="100000"/>
                <a:satMod val="150000"/>
                <a:lumMod val="100000"/>
              </a:schemeClr>
            </a:gs>
          </a:gsLst>
          <a:path path="circle">
            <a:fillToRect l="100000" t="100000" r="100000" b="100000"/>
          </a:path>
        </a:gradFill>
      </a:fillStyleLst>
      <a:lnStyleLst>
        <a:ln w="9525" cap="flat" cmpd="sng" algn="ctr">
          <a:solidFill>
            <a:schemeClr val="phClr"/>
          </a:solidFill>
          <a:prstDash val="solid"/>
        </a:ln>
        <a:ln w="15875"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outerShdw blurRad="50800" dist="12700" dir="5400000" algn="ctr" rotWithShape="0">
              <a:srgbClr val="000000">
                <a:alpha val="50000"/>
              </a:srgbClr>
            </a:outerShdw>
          </a:effectLst>
        </a:effectStyle>
        <a:effectStyle>
          <a:effectLst>
            <a:outerShdw blurRad="76200" dist="25400" dir="5400000" algn="ctr" rotWithShape="0">
              <a:srgbClr val="000000">
                <a:alpha val="60000"/>
              </a:srgbClr>
            </a:outerShdw>
          </a:effectLst>
          <a:scene3d>
            <a:camera prst="orthographicFront">
              <a:rot lat="0" lon="0" rev="0"/>
            </a:camera>
            <a:lightRig rig="flat" dir="t">
              <a:rot lat="0" lon="0" rev="3600000"/>
            </a:lightRig>
          </a:scene3d>
          <a:sp3d contourW="12700" prstMaterial="flat">
            <a:bevelT w="38100" h="44450" prst="angle"/>
            <a:contourClr>
              <a:schemeClr val="phClr">
                <a:shade val="35000"/>
                <a:satMod val="160000"/>
              </a:schemeClr>
            </a:contourClr>
          </a:sp3d>
        </a:effectStyle>
      </a:effectStyleLst>
      <a:bgFillStyleLst>
        <a:solidFill>
          <a:schemeClr val="phClr"/>
        </a:solidFill>
        <a:solidFill>
          <a:schemeClr val="phClr">
            <a:tint val="95000"/>
            <a:shade val="85000"/>
            <a:satMod val="125000"/>
          </a:schemeClr>
        </a:solidFill>
        <a:blipFill rotWithShape="1">
          <a:blip xmlns:r="http://schemas.openxmlformats.org/officeDocument/2006/relationships" r:embed="rId1">
            <a:duotone>
              <a:schemeClr val="phClr">
                <a:tint val="95000"/>
                <a:shade val="74000"/>
                <a:satMod val="230000"/>
              </a:schemeClr>
              <a:schemeClr val="phClr">
                <a:tint val="92000"/>
                <a:shade val="69000"/>
                <a:satMod val="250000"/>
              </a:schemeClr>
            </a:duotone>
          </a:blip>
          <a:tile tx="0" ty="0" sx="40000" sy="40000" flip="none" algn="tl"/>
        </a:blipFill>
      </a:bgFillStyleLst>
    </a:fmtScheme>
  </a:themeElements>
  <a:objectDefaults/>
  <a:extraClrSchemeLst/>
  <a:extLst>
    <a:ext uri="{05A4C25C-085E-4340-85A3-A5531E510DB2}">
      <thm15:themeFamily xmlns:thm15="http://schemas.microsoft.com/office/thememl/2012/main" name="Integral" id="{3577F8C9-A904-41D8-97D2-FD898F53F20E}" vid="{682D6EBE-8D36-4FF2-9DB3-F3D8D7B6715D}"/>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pageSetUpPr fitToPage="1"/>
  </sheetPr>
  <dimension ref="A1:J34"/>
  <sheetViews>
    <sheetView view="pageBreakPreview" zoomScaleNormal="100" zoomScaleSheetLayoutView="100" workbookViewId="0">
      <selection activeCell="D31" sqref="D31"/>
    </sheetView>
  </sheetViews>
  <sheetFormatPr defaultColWidth="9" defaultRowHeight="14.25" x14ac:dyDescent="0.2"/>
  <cols>
    <col min="1" max="1" width="24.375" style="6" customWidth="1"/>
    <col min="2" max="2" width="44.125" style="6" customWidth="1"/>
    <col min="3" max="4" width="17.625" style="7" customWidth="1"/>
    <col min="5" max="16384" width="9" style="6"/>
  </cols>
  <sheetData>
    <row r="1" spans="1:10" ht="21" thickBot="1" x14ac:dyDescent="0.25">
      <c r="A1" s="191" t="s">
        <v>22</v>
      </c>
      <c r="B1" s="192"/>
      <c r="C1" s="192"/>
      <c r="D1" s="192"/>
      <c r="E1" s="192"/>
      <c r="F1" s="192"/>
      <c r="G1" s="192"/>
      <c r="H1" s="192"/>
      <c r="I1" s="192"/>
      <c r="J1" s="192"/>
    </row>
    <row r="2" spans="1:10" ht="18.75" x14ac:dyDescent="0.2">
      <c r="A2" s="14" t="s">
        <v>20</v>
      </c>
      <c r="B2" s="102" t="s">
        <v>59</v>
      </c>
      <c r="C2" s="92"/>
      <c r="D2" s="6"/>
    </row>
    <row r="3" spans="1:10" ht="18" x14ac:dyDescent="0.2">
      <c r="A3" s="14" t="s">
        <v>27</v>
      </c>
      <c r="B3" s="114">
        <v>9082025</v>
      </c>
      <c r="C3" s="92"/>
      <c r="D3" s="6"/>
    </row>
    <row r="4" spans="1:10" ht="18" x14ac:dyDescent="0.2">
      <c r="A4" s="14" t="s">
        <v>16</v>
      </c>
      <c r="B4" s="114" t="s">
        <v>47</v>
      </c>
      <c r="C4" s="93"/>
      <c r="D4" s="6"/>
    </row>
    <row r="5" spans="1:10" ht="18" x14ac:dyDescent="0.2">
      <c r="A5" s="14" t="s">
        <v>14</v>
      </c>
      <c r="B5" s="94">
        <f>'Takeoff Breakdown'!N9</f>
        <v>45918</v>
      </c>
      <c r="C5" s="95"/>
      <c r="D5" s="6"/>
    </row>
    <row r="6" spans="1:10" ht="18" x14ac:dyDescent="0.2">
      <c r="A6" s="14"/>
      <c r="B6" s="94"/>
      <c r="C6" s="95"/>
      <c r="D6" s="6"/>
    </row>
    <row r="7" spans="1:10" ht="15.95" x14ac:dyDescent="0.2">
      <c r="A7" s="87" t="s">
        <v>48</v>
      </c>
      <c r="B7" s="144">
        <v>13785</v>
      </c>
      <c r="C7" s="96"/>
      <c r="D7" s="97"/>
    </row>
    <row r="8" spans="1:10" ht="17.100000000000001" thickBot="1" x14ac:dyDescent="0.25">
      <c r="A8" s="87" t="s">
        <v>60</v>
      </c>
      <c r="B8" s="144">
        <v>44283</v>
      </c>
      <c r="C8" s="96"/>
      <c r="D8" s="97"/>
    </row>
    <row r="9" spans="1:10" ht="35.1" thickBot="1" x14ac:dyDescent="0.25">
      <c r="A9" s="82" t="s">
        <v>43</v>
      </c>
      <c r="B9" s="83" t="s">
        <v>0</v>
      </c>
      <c r="C9" s="84" t="s">
        <v>11</v>
      </c>
      <c r="D9" s="84" t="s">
        <v>32</v>
      </c>
    </row>
    <row r="10" spans="1:10" ht="15.95" x14ac:dyDescent="0.2">
      <c r="A10" s="79">
        <v>1000</v>
      </c>
      <c r="B10" s="80" t="s">
        <v>41</v>
      </c>
      <c r="C10" s="81">
        <f>'Takeoff Breakdown'!N20</f>
        <v>376808</v>
      </c>
      <c r="D10" s="88">
        <f>C10/$B$8</f>
        <v>8.5090892667615119</v>
      </c>
    </row>
    <row r="11" spans="1:10" ht="17.100000000000001" thickBot="1" x14ac:dyDescent="0.25">
      <c r="A11" s="16">
        <v>4000</v>
      </c>
      <c r="B11" s="17" t="s">
        <v>47</v>
      </c>
      <c r="C11" s="18">
        <f>'Takeoff Breakdown'!N55</f>
        <v>1296981.0064224377</v>
      </c>
      <c r="D11" s="88">
        <f>C11/$B$8</f>
        <v>29.288462986302594</v>
      </c>
    </row>
    <row r="12" spans="1:10" ht="17.100000000000001" thickBot="1" x14ac:dyDescent="0.25">
      <c r="A12" s="193" t="s">
        <v>12</v>
      </c>
      <c r="B12" s="193"/>
      <c r="C12" s="19">
        <f>SUM(C10:C11)</f>
        <v>1673789.0064224377</v>
      </c>
      <c r="D12" s="19">
        <f>SUM(D10:D11)</f>
        <v>37.797552253064104</v>
      </c>
      <c r="F12" s="98"/>
    </row>
    <row r="13" spans="1:10" ht="17.100000000000001" thickBot="1" x14ac:dyDescent="0.25">
      <c r="A13" s="194"/>
      <c r="B13" s="194"/>
      <c r="C13" s="194"/>
      <c r="D13" s="194"/>
    </row>
    <row r="14" spans="1:10" ht="15.95" x14ac:dyDescent="0.2">
      <c r="A14" s="20" t="s">
        <v>61</v>
      </c>
      <c r="B14" s="99">
        <f>'Takeoff Breakdown'!M58</f>
        <v>0.1</v>
      </c>
      <c r="C14" s="21">
        <f>C12*B14</f>
        <v>167378.9006422438</v>
      </c>
      <c r="D14" s="22">
        <f>D12*B14</f>
        <v>3.7797552253064106</v>
      </c>
      <c r="E14" s="98"/>
      <c r="F14" s="98"/>
    </row>
    <row r="15" spans="1:10" ht="15.95" x14ac:dyDescent="0.2">
      <c r="A15" s="20" t="s">
        <v>62</v>
      </c>
      <c r="B15" s="99">
        <f>'Takeoff Breakdown'!M59</f>
        <v>0.1</v>
      </c>
      <c r="C15" s="21">
        <f>'Takeoff Breakdown'!N59</f>
        <v>167378.9006422438</v>
      </c>
      <c r="D15" s="22">
        <f>D12*B15</f>
        <v>3.7797552253064106</v>
      </c>
      <c r="E15" s="98"/>
      <c r="F15" s="98"/>
    </row>
    <row r="16" spans="1:10" ht="15.95" x14ac:dyDescent="0.2">
      <c r="A16" s="20" t="s">
        <v>3</v>
      </c>
      <c r="B16" s="99">
        <f>'Takeoff Breakdown'!M60</f>
        <v>0.03</v>
      </c>
      <c r="C16" s="21">
        <f>C12*B16</f>
        <v>50213.670192673133</v>
      </c>
      <c r="D16" s="22">
        <f>D12*B16</f>
        <v>1.133926567591923</v>
      </c>
    </row>
    <row r="17" spans="1:10" ht="15.95" x14ac:dyDescent="0.2">
      <c r="A17" s="20" t="s">
        <v>13</v>
      </c>
      <c r="B17" s="99">
        <f>'Takeoff Breakdown'!M61</f>
        <v>0.05</v>
      </c>
      <c r="C17" s="21">
        <f>C12*B17</f>
        <v>83689.450321121898</v>
      </c>
      <c r="D17" s="22">
        <f>D12*B17</f>
        <v>1.8898776126532053</v>
      </c>
    </row>
    <row r="18" spans="1:10" ht="17.100000000000001" thickBot="1" x14ac:dyDescent="0.25">
      <c r="A18" s="20" t="s">
        <v>21</v>
      </c>
      <c r="B18" s="99">
        <f>'Takeoff Breakdown'!M62</f>
        <v>5.2999999999999999E-2</v>
      </c>
      <c r="C18" s="21">
        <f>'Takeoff Breakdown'!N62</f>
        <v>42418.712710616332</v>
      </c>
      <c r="D18" s="22">
        <f>D12*B18</f>
        <v>2.0032702694123974</v>
      </c>
    </row>
    <row r="19" spans="1:10" ht="17.100000000000001" thickBot="1" x14ac:dyDescent="0.25">
      <c r="A19" s="195" t="s">
        <v>10</v>
      </c>
      <c r="B19" s="196"/>
      <c r="C19" s="19">
        <f>SUM(C12,C14:C18)</f>
        <v>2184868.6409313362</v>
      </c>
      <c r="D19" s="19">
        <f>SUM(D12,D14:D18)</f>
        <v>50.38413715333445</v>
      </c>
      <c r="E19" s="85"/>
      <c r="F19" s="86"/>
      <c r="G19" s="86"/>
      <c r="H19" s="86"/>
      <c r="I19" s="86"/>
      <c r="J19" s="86"/>
    </row>
    <row r="26" spans="1:10" ht="15" x14ac:dyDescent="0.2">
      <c r="C26" s="6"/>
      <c r="D26" s="6"/>
    </row>
    <row r="27" spans="1:10" ht="15" x14ac:dyDescent="0.2">
      <c r="C27" s="6"/>
      <c r="D27" s="6"/>
    </row>
    <row r="28" spans="1:10" ht="15" x14ac:dyDescent="0.2">
      <c r="C28" s="6"/>
      <c r="D28" s="6"/>
    </row>
    <row r="29" spans="1:10" ht="15" x14ac:dyDescent="0.2">
      <c r="C29" s="6"/>
      <c r="D29" s="6"/>
    </row>
    <row r="30" spans="1:10" ht="15" x14ac:dyDescent="0.2">
      <c r="C30" s="6"/>
      <c r="D30" s="6"/>
    </row>
    <row r="31" spans="1:10" ht="15" x14ac:dyDescent="0.2">
      <c r="C31" s="6"/>
      <c r="D31" s="6"/>
    </row>
    <row r="32" spans="1:10" ht="15" x14ac:dyDescent="0.2">
      <c r="C32" s="6"/>
      <c r="D32" s="6"/>
    </row>
    <row r="33" s="6" customFormat="1" ht="15" x14ac:dyDescent="0.2"/>
    <row r="34" s="6" customFormat="1" ht="15" x14ac:dyDescent="0.2"/>
  </sheetData>
  <mergeCells count="4">
    <mergeCell ref="A1:J1"/>
    <mergeCell ref="A12:B12"/>
    <mergeCell ref="A13:D13"/>
    <mergeCell ref="A19:B19"/>
  </mergeCells>
  <pageMargins left="0.7" right="0.7" top="0.75" bottom="0.75" header="0.3" footer="0.3"/>
  <pageSetup scale="71"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85C93-DA38-4D36-8545-A7ECC73D2038}">
  <sheetPr>
    <tabColor rgb="FF0070C0"/>
    <pageSetUpPr fitToPage="1"/>
  </sheetPr>
  <dimension ref="A1:T67"/>
  <sheetViews>
    <sheetView showGridLines="0" tabSelected="1" view="pageBreakPreview" topLeftCell="A2" zoomScale="85" zoomScaleNormal="85" zoomScaleSheetLayoutView="85" workbookViewId="0">
      <selection activeCell="A63" sqref="A63"/>
    </sheetView>
  </sheetViews>
  <sheetFormatPr defaultColWidth="9" defaultRowHeight="14.25" x14ac:dyDescent="0.2"/>
  <cols>
    <col min="1" max="1" width="19.625" style="5" customWidth="1"/>
    <col min="2" max="2" width="14.625" style="138" customWidth="1"/>
    <col min="3" max="3" width="15.625" style="5" customWidth="1"/>
    <col min="4" max="4" width="69.5" style="4" customWidth="1"/>
    <col min="5" max="5" width="10.625" style="4" customWidth="1"/>
    <col min="6" max="6" width="11.125" style="5" bestFit="1" customWidth="1"/>
    <col min="7" max="7" width="10.375" style="5" bestFit="1" customWidth="1"/>
    <col min="8" max="8" width="14" style="5" customWidth="1"/>
    <col min="9" max="9" width="11.375" style="5" bestFit="1" customWidth="1"/>
    <col min="10" max="10" width="9.125" style="5" bestFit="1" customWidth="1"/>
    <col min="11" max="11" width="12.625" style="4" customWidth="1"/>
    <col min="12" max="12" width="11.625" style="4" bestFit="1" customWidth="1"/>
    <col min="13" max="13" width="14.125" style="8" customWidth="1"/>
    <col min="14" max="14" width="12.625" style="8" bestFit="1" customWidth="1"/>
    <col min="15" max="15" width="9" style="4"/>
    <col min="16" max="17" width="12.875" style="4" bestFit="1" customWidth="1"/>
    <col min="18" max="16384" width="9" style="4"/>
  </cols>
  <sheetData>
    <row r="1" spans="1:20" s="1" customFormat="1" ht="15" hidden="1" customHeight="1" thickTop="1" x14ac:dyDescent="0.2">
      <c r="A1" s="2"/>
      <c r="B1" s="133"/>
      <c r="C1" s="3"/>
      <c r="D1" s="3"/>
      <c r="E1" s="3"/>
      <c r="F1" s="3"/>
      <c r="G1" s="3"/>
      <c r="H1" s="3"/>
      <c r="I1" s="3"/>
      <c r="J1" s="3"/>
      <c r="K1" s="3"/>
      <c r="L1" s="3"/>
      <c r="M1" s="3"/>
      <c r="N1" s="3"/>
    </row>
    <row r="2" spans="1:20" ht="21" thickBot="1" x14ac:dyDescent="0.25">
      <c r="A2" s="191" t="s">
        <v>23</v>
      </c>
      <c r="B2" s="192"/>
      <c r="C2" s="192"/>
      <c r="D2" s="192"/>
      <c r="E2" s="192"/>
      <c r="F2" s="192"/>
      <c r="G2" s="192"/>
      <c r="H2" s="192"/>
      <c r="I2" s="192"/>
      <c r="J2" s="192"/>
      <c r="K2" s="192"/>
      <c r="L2" s="192"/>
      <c r="M2" s="192"/>
      <c r="N2" s="203"/>
    </row>
    <row r="3" spans="1:20" ht="18.75" x14ac:dyDescent="0.2">
      <c r="A3" s="176" t="s">
        <v>20</v>
      </c>
      <c r="B3" s="102" t="s">
        <v>59</v>
      </c>
      <c r="C3" s="122"/>
      <c r="D3" s="101"/>
      <c r="E3" s="102"/>
      <c r="F3" s="103"/>
      <c r="G3" s="103"/>
      <c r="H3" s="102"/>
      <c r="I3" s="102"/>
      <c r="J3" s="102"/>
      <c r="K3" s="102"/>
      <c r="L3" s="102"/>
      <c r="M3" s="15"/>
      <c r="N3" s="23"/>
    </row>
    <row r="4" spans="1:20" ht="18" customHeight="1" x14ac:dyDescent="0.2">
      <c r="A4" s="176" t="s">
        <v>27</v>
      </c>
      <c r="B4" s="114">
        <v>9082025</v>
      </c>
      <c r="C4" s="122"/>
      <c r="D4" s="101"/>
      <c r="E4" s="104"/>
      <c r="F4" s="105"/>
      <c r="G4" s="105"/>
      <c r="H4" s="105"/>
      <c r="I4" s="105"/>
      <c r="J4" s="105"/>
      <c r="K4" s="102"/>
      <c r="L4" s="102"/>
      <c r="M4" s="15"/>
      <c r="N4" s="23"/>
    </row>
    <row r="5" spans="1:20" ht="18" customHeight="1" x14ac:dyDescent="0.2">
      <c r="A5" s="14" t="s">
        <v>16</v>
      </c>
      <c r="B5" s="151" t="s">
        <v>47</v>
      </c>
      <c r="C5" s="123"/>
      <c r="D5" s="101"/>
      <c r="E5" s="108"/>
      <c r="F5" s="108"/>
      <c r="G5" s="105"/>
      <c r="H5" s="105"/>
      <c r="I5" s="105"/>
      <c r="J5" s="105"/>
      <c r="K5" s="109"/>
      <c r="L5" s="109"/>
      <c r="M5" s="110"/>
      <c r="N5" s="24"/>
    </row>
    <row r="6" spans="1:20" ht="18" customHeight="1" x14ac:dyDescent="0.2">
      <c r="A6" s="177"/>
      <c r="B6" s="107"/>
      <c r="C6" s="123"/>
      <c r="D6" s="106"/>
      <c r="E6" s="108"/>
      <c r="F6" s="108"/>
      <c r="G6" s="105"/>
      <c r="H6" s="105"/>
      <c r="I6" s="105"/>
      <c r="J6" s="105"/>
      <c r="K6" s="109"/>
      <c r="L6" s="109"/>
      <c r="M6" s="110"/>
      <c r="N6" s="24"/>
    </row>
    <row r="7" spans="1:20" ht="18" customHeight="1" x14ac:dyDescent="0.2">
      <c r="A7" s="140"/>
      <c r="B7" s="107"/>
      <c r="C7" s="123"/>
      <c r="D7" s="106"/>
      <c r="E7" s="108"/>
      <c r="F7" s="108"/>
      <c r="G7" s="105"/>
      <c r="H7" s="105"/>
      <c r="I7" s="105"/>
      <c r="J7" s="105"/>
      <c r="K7" s="109"/>
      <c r="L7" s="109"/>
      <c r="M7" s="110"/>
      <c r="N7" s="24"/>
    </row>
    <row r="8" spans="1:20" ht="6.75" customHeight="1" x14ac:dyDescent="0.2">
      <c r="A8" s="140"/>
      <c r="B8" s="107"/>
      <c r="C8" s="123"/>
      <c r="D8" s="108"/>
      <c r="E8" s="108"/>
      <c r="F8" s="108"/>
      <c r="G8" s="105"/>
      <c r="H8" s="105"/>
      <c r="I8" s="105"/>
      <c r="J8" s="105"/>
      <c r="K8" s="109"/>
      <c r="L8" s="109"/>
      <c r="M8" s="110"/>
      <c r="N8" s="24"/>
    </row>
    <row r="9" spans="1:20" ht="20.100000000000001" thickBot="1" x14ac:dyDescent="0.25">
      <c r="A9" s="141"/>
      <c r="B9" s="100"/>
      <c r="C9" s="122"/>
      <c r="D9" s="111"/>
      <c r="E9" s="104"/>
      <c r="F9" s="105"/>
      <c r="G9" s="105"/>
      <c r="H9" s="105"/>
      <c r="I9" s="105"/>
      <c r="J9" s="105"/>
      <c r="K9" s="102"/>
      <c r="L9" s="102"/>
      <c r="M9" s="15" t="s">
        <v>14</v>
      </c>
      <c r="N9" s="23">
        <v>45918</v>
      </c>
    </row>
    <row r="10" spans="1:20" s="1" customFormat="1" ht="59.45" customHeight="1" thickTop="1" x14ac:dyDescent="0.2">
      <c r="A10" s="142" t="s">
        <v>6</v>
      </c>
      <c r="B10" s="10" t="s">
        <v>28</v>
      </c>
      <c r="C10" s="10" t="s">
        <v>29</v>
      </c>
      <c r="D10" s="11" t="s">
        <v>0</v>
      </c>
      <c r="E10" s="11" t="s">
        <v>2</v>
      </c>
      <c r="F10" s="11" t="s">
        <v>1</v>
      </c>
      <c r="G10" s="11" t="s">
        <v>17</v>
      </c>
      <c r="H10" s="11" t="s">
        <v>18</v>
      </c>
      <c r="I10" s="11" t="s">
        <v>30</v>
      </c>
      <c r="J10" s="11" t="s">
        <v>31</v>
      </c>
      <c r="K10" s="11" t="s">
        <v>24</v>
      </c>
      <c r="L10" s="11" t="s">
        <v>25</v>
      </c>
      <c r="M10" s="11" t="s">
        <v>5</v>
      </c>
      <c r="N10" s="12" t="s">
        <v>8</v>
      </c>
      <c r="O10" s="4"/>
      <c r="P10" s="4"/>
      <c r="Q10" s="4"/>
      <c r="R10" s="4"/>
      <c r="S10" s="4"/>
      <c r="T10" s="4"/>
    </row>
    <row r="11" spans="1:20" s="13" customFormat="1" ht="18" customHeight="1" x14ac:dyDescent="0.2">
      <c r="A11" s="116"/>
      <c r="B11" s="45"/>
      <c r="C11" s="124"/>
      <c r="D11" s="43"/>
      <c r="E11" s="44" t="s">
        <v>15</v>
      </c>
      <c r="F11" s="45"/>
      <c r="G11" s="45"/>
      <c r="H11" s="45"/>
      <c r="I11" s="45"/>
      <c r="J11" s="45"/>
      <c r="K11" s="45"/>
      <c r="L11" s="45"/>
      <c r="M11" s="46"/>
      <c r="N11" s="47"/>
      <c r="O11" s="4"/>
      <c r="P11" s="4"/>
      <c r="Q11" s="4"/>
      <c r="R11" s="4"/>
      <c r="S11" s="4"/>
      <c r="T11" s="4"/>
    </row>
    <row r="12" spans="1:20" ht="18" customHeight="1" x14ac:dyDescent="0.2">
      <c r="A12" s="25">
        <f>IF(G12&lt;&gt;"",1+MAX($A$2:A11),"")</f>
        <v>1</v>
      </c>
      <c r="B12" s="134"/>
      <c r="C12" s="26"/>
      <c r="D12" s="27" t="s">
        <v>33</v>
      </c>
      <c r="E12" s="159" t="s">
        <v>4</v>
      </c>
      <c r="F12" s="159">
        <v>1</v>
      </c>
      <c r="G12" s="28">
        <v>0</v>
      </c>
      <c r="H12" s="29">
        <f t="shared" ref="H12:H18" si="0">(G12*F12)+F12</f>
        <v>1</v>
      </c>
      <c r="I12" s="89">
        <v>0</v>
      </c>
      <c r="J12" s="90">
        <v>0</v>
      </c>
      <c r="K12" s="30">
        <f>J12*I12</f>
        <v>0</v>
      </c>
      <c r="L12" s="30">
        <v>0</v>
      </c>
      <c r="M12" s="31">
        <f>K12+L12</f>
        <v>0</v>
      </c>
      <c r="N12" s="32">
        <f>H12*M12</f>
        <v>0</v>
      </c>
      <c r="O12" s="9"/>
      <c r="P12" s="9"/>
    </row>
    <row r="13" spans="1:20" ht="18" customHeight="1" x14ac:dyDescent="0.2">
      <c r="A13" s="33">
        <f>IF(G13&lt;&gt;"",1+MAX($A$2:A12),"")</f>
        <v>2</v>
      </c>
      <c r="B13" s="135"/>
      <c r="C13" s="34"/>
      <c r="D13" s="91" t="s">
        <v>34</v>
      </c>
      <c r="E13" s="159" t="s">
        <v>4</v>
      </c>
      <c r="F13" s="35">
        <v>1</v>
      </c>
      <c r="G13" s="28">
        <v>0</v>
      </c>
      <c r="H13" s="29">
        <f t="shared" si="0"/>
        <v>1</v>
      </c>
      <c r="I13" s="89">
        <v>0</v>
      </c>
      <c r="J13" s="90">
        <v>0</v>
      </c>
      <c r="K13" s="30">
        <f t="shared" ref="K13:K18" si="1">J13*I13</f>
        <v>0</v>
      </c>
      <c r="L13" s="30">
        <v>0</v>
      </c>
      <c r="M13" s="31">
        <v>45000</v>
      </c>
      <c r="N13" s="32">
        <f t="shared" ref="N13:N18" si="2">H13*M13</f>
        <v>45000</v>
      </c>
      <c r="O13" s="9"/>
      <c r="P13" s="9"/>
    </row>
    <row r="14" spans="1:20" ht="18" customHeight="1" x14ac:dyDescent="0.2">
      <c r="A14" s="33">
        <f>IF(G14&lt;&gt;"",1+MAX($A$2:A13),"")</f>
        <v>3</v>
      </c>
      <c r="B14" s="135"/>
      <c r="C14" s="34"/>
      <c r="D14" s="91" t="s">
        <v>35</v>
      </c>
      <c r="E14" s="159" t="s">
        <v>4</v>
      </c>
      <c r="F14" s="35">
        <v>1</v>
      </c>
      <c r="G14" s="28">
        <v>0</v>
      </c>
      <c r="H14" s="29">
        <f t="shared" si="0"/>
        <v>1</v>
      </c>
      <c r="I14" s="89">
        <v>0</v>
      </c>
      <c r="J14" s="90">
        <v>0</v>
      </c>
      <c r="K14" s="30">
        <f t="shared" si="1"/>
        <v>0</v>
      </c>
      <c r="L14" s="30">
        <v>0</v>
      </c>
      <c r="M14" s="31">
        <f t="shared" ref="M14" si="3">K14+L14</f>
        <v>0</v>
      </c>
      <c r="N14" s="32">
        <f t="shared" si="2"/>
        <v>0</v>
      </c>
      <c r="O14" s="9"/>
      <c r="P14" s="9"/>
    </row>
    <row r="15" spans="1:20" ht="18" customHeight="1" x14ac:dyDescent="0.2">
      <c r="A15" s="33">
        <f>IF(G15&lt;&gt;"",1+MAX($A$2:A14),"")</f>
        <v>4</v>
      </c>
      <c r="B15" s="135"/>
      <c r="C15" s="34"/>
      <c r="D15" s="91" t="s">
        <v>7</v>
      </c>
      <c r="E15" s="159" t="s">
        <v>4</v>
      </c>
      <c r="F15" s="35">
        <v>1</v>
      </c>
      <c r="G15" s="28">
        <v>0</v>
      </c>
      <c r="H15" s="29">
        <f t="shared" si="0"/>
        <v>1</v>
      </c>
      <c r="I15" s="89">
        <v>0</v>
      </c>
      <c r="J15" s="90">
        <v>0</v>
      </c>
      <c r="K15" s="30">
        <f t="shared" si="1"/>
        <v>0</v>
      </c>
      <c r="L15" s="30">
        <v>0</v>
      </c>
      <c r="M15" s="31">
        <v>20000</v>
      </c>
      <c r="N15" s="32">
        <f t="shared" si="2"/>
        <v>20000</v>
      </c>
      <c r="O15" s="9"/>
      <c r="P15" s="9"/>
    </row>
    <row r="16" spans="1:20" ht="18" customHeight="1" x14ac:dyDescent="0.2">
      <c r="A16" s="33">
        <f>IF(G16&lt;&gt;"",1+MAX($A$2:A15),"")</f>
        <v>5</v>
      </c>
      <c r="B16" s="135"/>
      <c r="C16" s="34"/>
      <c r="D16" s="91" t="s">
        <v>36</v>
      </c>
      <c r="E16" s="159" t="s">
        <v>4</v>
      </c>
      <c r="F16" s="35">
        <v>1</v>
      </c>
      <c r="G16" s="28">
        <v>0</v>
      </c>
      <c r="H16" s="29">
        <f t="shared" si="0"/>
        <v>1</v>
      </c>
      <c r="I16" s="89">
        <v>0</v>
      </c>
      <c r="J16" s="90">
        <v>0</v>
      </c>
      <c r="K16" s="30">
        <f t="shared" si="1"/>
        <v>0</v>
      </c>
      <c r="L16" s="30">
        <v>0</v>
      </c>
      <c r="M16" s="31">
        <v>30000</v>
      </c>
      <c r="N16" s="32">
        <f t="shared" si="2"/>
        <v>30000</v>
      </c>
      <c r="O16" s="9"/>
      <c r="P16" s="9"/>
    </row>
    <row r="17" spans="1:20" ht="18" customHeight="1" x14ac:dyDescent="0.2">
      <c r="A17" s="33">
        <f>IF(G17&lt;&gt;"",1+MAX($A$2:A16),"")</f>
        <v>6</v>
      </c>
      <c r="B17" s="135"/>
      <c r="C17" s="34"/>
      <c r="D17" s="91" t="s">
        <v>37</v>
      </c>
      <c r="E17" s="159" t="s">
        <v>4</v>
      </c>
      <c r="F17" s="35">
        <v>1</v>
      </c>
      <c r="G17" s="28">
        <v>0</v>
      </c>
      <c r="H17" s="29">
        <f t="shared" si="0"/>
        <v>1</v>
      </c>
      <c r="I17" s="89">
        <v>0</v>
      </c>
      <c r="J17" s="90">
        <v>0</v>
      </c>
      <c r="K17" s="30">
        <f t="shared" si="1"/>
        <v>0</v>
      </c>
      <c r="L17" s="30">
        <v>0</v>
      </c>
      <c r="M17" s="37">
        <v>12000</v>
      </c>
      <c r="N17" s="32">
        <f t="shared" si="2"/>
        <v>12000</v>
      </c>
      <c r="O17" s="9"/>
      <c r="P17" s="9"/>
    </row>
    <row r="18" spans="1:20" ht="18" customHeight="1" x14ac:dyDescent="0.2">
      <c r="A18" s="33">
        <f>IF(G18&lt;&gt;"",1+MAX($A$2:A17),"")</f>
        <v>7</v>
      </c>
      <c r="B18" s="135"/>
      <c r="C18" s="34"/>
      <c r="D18" s="91" t="s">
        <v>38</v>
      </c>
      <c r="E18" s="159" t="s">
        <v>4</v>
      </c>
      <c r="F18" s="35">
        <v>1</v>
      </c>
      <c r="G18" s="28">
        <v>0</v>
      </c>
      <c r="H18" s="29">
        <f t="shared" si="0"/>
        <v>1</v>
      </c>
      <c r="I18" s="89">
        <v>0</v>
      </c>
      <c r="J18" s="90">
        <v>0</v>
      </c>
      <c r="K18" s="30">
        <f t="shared" si="1"/>
        <v>0</v>
      </c>
      <c r="L18" s="30">
        <v>0</v>
      </c>
      <c r="M18" s="37">
        <f>7*33544</f>
        <v>234808</v>
      </c>
      <c r="N18" s="32">
        <f t="shared" si="2"/>
        <v>234808</v>
      </c>
      <c r="O18" s="9"/>
      <c r="P18" s="9"/>
    </row>
    <row r="19" spans="1:20" ht="18" customHeight="1" x14ac:dyDescent="0.2">
      <c r="A19" s="33">
        <f>IF(G19&lt;&gt;"",1+MAX($A$2:A18),"")</f>
        <v>8</v>
      </c>
      <c r="B19" s="135"/>
      <c r="C19" s="34"/>
      <c r="D19" s="91" t="s">
        <v>80</v>
      </c>
      <c r="E19" s="159" t="s">
        <v>4</v>
      </c>
      <c r="F19" s="35">
        <v>1</v>
      </c>
      <c r="G19" s="28">
        <v>0</v>
      </c>
      <c r="H19" s="29">
        <f t="shared" ref="H19" si="4">(G19*F19)+F19</f>
        <v>1</v>
      </c>
      <c r="I19" s="89">
        <v>0</v>
      </c>
      <c r="J19" s="90">
        <v>0</v>
      </c>
      <c r="K19" s="30">
        <f t="shared" ref="K19" si="5">J19*I19</f>
        <v>0</v>
      </c>
      <c r="L19" s="30">
        <v>0</v>
      </c>
      <c r="M19" s="37">
        <v>35000</v>
      </c>
      <c r="N19" s="32">
        <f t="shared" ref="N19" si="6">H19*M19</f>
        <v>35000</v>
      </c>
      <c r="O19" s="9"/>
      <c r="P19" s="9"/>
    </row>
    <row r="20" spans="1:20" s="1" customFormat="1" ht="33.950000000000003" x14ac:dyDescent="0.2">
      <c r="A20" s="117" t="str">
        <f>IF(G20&lt;&gt;"",1+MAX($A$2:A18),"")</f>
        <v/>
      </c>
      <c r="B20" s="39"/>
      <c r="C20" s="125"/>
      <c r="D20" s="39"/>
      <c r="E20" s="39"/>
      <c r="F20" s="39"/>
      <c r="G20" s="39"/>
      <c r="H20" s="39"/>
      <c r="I20" s="39"/>
      <c r="J20" s="39"/>
      <c r="K20" s="40"/>
      <c r="L20" s="40"/>
      <c r="M20" s="41" t="s">
        <v>19</v>
      </c>
      <c r="N20" s="42">
        <f>SUM(N12:N19)</f>
        <v>376808</v>
      </c>
      <c r="O20" s="4"/>
      <c r="P20" s="4"/>
      <c r="Q20" s="4"/>
      <c r="R20" s="4"/>
      <c r="S20" s="4"/>
      <c r="T20" s="4"/>
    </row>
    <row r="21" spans="1:20" s="1" customFormat="1" ht="18" customHeight="1" thickBot="1" x14ac:dyDescent="0.25">
      <c r="A21" s="120" t="str">
        <f>IF(G21&lt;&gt;"",1+MAX($A$2:A20),"")</f>
        <v/>
      </c>
      <c r="B21" s="55"/>
      <c r="C21" s="127"/>
      <c r="D21" s="56"/>
      <c r="E21" s="57"/>
      <c r="F21" s="58"/>
      <c r="G21" s="55"/>
      <c r="H21" s="55"/>
      <c r="I21" s="59"/>
      <c r="J21" s="55"/>
      <c r="K21" s="60"/>
      <c r="L21" s="60"/>
      <c r="M21" s="61"/>
      <c r="N21" s="62"/>
      <c r="O21" s="9"/>
      <c r="P21" s="9"/>
      <c r="Q21" s="9"/>
      <c r="R21" s="9"/>
      <c r="S21" s="9"/>
      <c r="T21" s="9"/>
    </row>
    <row r="22" spans="1:20" ht="30.95" thickTop="1" x14ac:dyDescent="0.2">
      <c r="A22" s="116" t="str">
        <f>IF(G22&lt;&gt;"",1+MAX($A$2:A21),"")</f>
        <v/>
      </c>
      <c r="B22" s="45"/>
      <c r="C22" s="124"/>
      <c r="D22" s="43"/>
      <c r="E22" s="44" t="s">
        <v>46</v>
      </c>
      <c r="F22" s="45"/>
      <c r="G22" s="45"/>
      <c r="H22" s="45"/>
      <c r="I22" s="45"/>
      <c r="J22" s="45"/>
      <c r="K22" s="45"/>
      <c r="L22" s="45"/>
      <c r="M22" s="46"/>
      <c r="N22" s="47"/>
      <c r="O22" s="9"/>
      <c r="P22" s="171" t="s">
        <v>24</v>
      </c>
      <c r="Q22" s="171" t="s">
        <v>25</v>
      </c>
      <c r="R22" s="9"/>
      <c r="S22" s="9"/>
      <c r="T22" s="9"/>
    </row>
    <row r="23" spans="1:20" ht="18" customHeight="1" x14ac:dyDescent="0.2">
      <c r="A23" s="118" t="str">
        <f>IF(G23&lt;&gt;"",1+MAX($A$2:A22),"")</f>
        <v/>
      </c>
      <c r="B23" s="50"/>
      <c r="C23" s="126"/>
      <c r="D23" s="48" t="s">
        <v>79</v>
      </c>
      <c r="E23" s="119"/>
      <c r="F23" s="51"/>
      <c r="G23" s="52"/>
      <c r="H23" s="36"/>
      <c r="I23" s="53"/>
      <c r="J23" s="36"/>
      <c r="K23" s="49"/>
      <c r="L23" s="49"/>
      <c r="M23" s="37"/>
      <c r="N23" s="38"/>
      <c r="O23" s="9"/>
      <c r="P23" s="172"/>
      <c r="Q23" s="172"/>
      <c r="R23" s="9"/>
      <c r="S23" s="9"/>
      <c r="T23" s="9"/>
    </row>
    <row r="24" spans="1:20" ht="15.75" x14ac:dyDescent="0.25">
      <c r="A24" s="54" t="str">
        <f>IF(G24&lt;&gt;"",1+MAX($A$2:A23),"")</f>
        <v/>
      </c>
      <c r="B24" s="200" t="s">
        <v>56</v>
      </c>
      <c r="C24" s="197" t="s">
        <v>58</v>
      </c>
      <c r="D24" s="168" t="s">
        <v>63</v>
      </c>
      <c r="E24" s="35"/>
      <c r="F24" s="36"/>
      <c r="G24" s="28"/>
      <c r="H24" s="29"/>
      <c r="I24" s="89"/>
      <c r="J24" s="90"/>
      <c r="K24" s="30"/>
      <c r="L24" s="30"/>
      <c r="M24" s="31"/>
      <c r="N24" s="32"/>
      <c r="O24" s="9"/>
      <c r="P24" s="174"/>
      <c r="Q24" s="174"/>
      <c r="S24" s="9"/>
    </row>
    <row r="25" spans="1:20" ht="15.75" x14ac:dyDescent="0.25">
      <c r="A25" s="54">
        <f>IF(G25&lt;&gt;"",1+MAX($A$2:A24),"")</f>
        <v>9</v>
      </c>
      <c r="B25" s="201"/>
      <c r="C25" s="198"/>
      <c r="D25" s="115" t="s">
        <v>51</v>
      </c>
      <c r="E25" s="35" t="s">
        <v>44</v>
      </c>
      <c r="F25" s="36">
        <f>24196+13649.4-(115*20)-(30*24)-(8.84*145)</f>
        <v>33543.599999999999</v>
      </c>
      <c r="G25" s="28">
        <v>0.1</v>
      </c>
      <c r="H25" s="29">
        <f t="shared" ref="H25:H26" si="7">(G25*F25)+F25</f>
        <v>36897.96</v>
      </c>
      <c r="I25" s="89">
        <v>0.26400000000000001</v>
      </c>
      <c r="J25" s="90">
        <v>40</v>
      </c>
      <c r="K25" s="30">
        <f t="shared" ref="K25" si="8">J25*I25</f>
        <v>10.56</v>
      </c>
      <c r="L25" s="30">
        <v>14.55</v>
      </c>
      <c r="M25" s="31">
        <f t="shared" ref="M25:M26" si="9">K25+L25</f>
        <v>25.11</v>
      </c>
      <c r="N25" s="32">
        <f t="shared" ref="N25:N26" si="10">H25*M25</f>
        <v>926507.77559999994</v>
      </c>
      <c r="O25" s="9"/>
      <c r="P25" s="175">
        <f>K25*H25</f>
        <v>389642.45760000002</v>
      </c>
      <c r="Q25" s="175">
        <f>L25*H25</f>
        <v>536865.31799999997</v>
      </c>
      <c r="S25" s="9"/>
    </row>
    <row r="26" spans="1:20" ht="15.75" x14ac:dyDescent="0.25">
      <c r="A26" s="54">
        <f>IF(G26&lt;&gt;"",1+MAX($A$2:A25),"")</f>
        <v>10</v>
      </c>
      <c r="B26" s="201"/>
      <c r="C26" s="198"/>
      <c r="D26" s="115" t="s">
        <v>49</v>
      </c>
      <c r="E26" s="35" t="s">
        <v>44</v>
      </c>
      <c r="F26" s="36">
        <f>F25</f>
        <v>33543.599999999999</v>
      </c>
      <c r="G26" s="28">
        <v>0.1</v>
      </c>
      <c r="H26" s="29">
        <f t="shared" si="7"/>
        <v>36897.96</v>
      </c>
      <c r="I26" s="89">
        <v>1.2E-2</v>
      </c>
      <c r="J26" s="90">
        <v>40</v>
      </c>
      <c r="K26" s="30">
        <f t="shared" ref="K26" si="11">J26*I26</f>
        <v>0.48</v>
      </c>
      <c r="L26" s="30">
        <v>0.48</v>
      </c>
      <c r="M26" s="31">
        <f t="shared" si="9"/>
        <v>0.96</v>
      </c>
      <c r="N26" s="32">
        <f t="shared" si="10"/>
        <v>35422.041599999997</v>
      </c>
      <c r="O26" s="9"/>
      <c r="P26" s="175">
        <f t="shared" ref="P26:P53" si="12">K26*H26</f>
        <v>17711.020799999998</v>
      </c>
      <c r="Q26" s="175">
        <f t="shared" ref="Q26:Q53" si="13">L26*H26</f>
        <v>17711.020799999998</v>
      </c>
      <c r="S26" s="9"/>
    </row>
    <row r="27" spans="1:20" ht="15.75" x14ac:dyDescent="0.25">
      <c r="A27" s="54" t="str">
        <f>IF(G27&lt;&gt;"",1+MAX($A$2:A26),"")</f>
        <v/>
      </c>
      <c r="B27" s="201"/>
      <c r="C27" s="198"/>
      <c r="D27" s="115"/>
      <c r="E27" s="35"/>
      <c r="F27" s="36"/>
      <c r="G27" s="28"/>
      <c r="H27" s="29"/>
      <c r="I27" s="89"/>
      <c r="J27" s="90"/>
      <c r="K27" s="30"/>
      <c r="L27" s="30"/>
      <c r="M27" s="31"/>
      <c r="N27" s="32"/>
      <c r="O27" s="9"/>
      <c r="P27" s="175">
        <f t="shared" si="12"/>
        <v>0</v>
      </c>
      <c r="Q27" s="175">
        <f t="shared" si="13"/>
        <v>0</v>
      </c>
      <c r="S27" s="9"/>
    </row>
    <row r="28" spans="1:20" ht="15.75" x14ac:dyDescent="0.25">
      <c r="A28" s="54" t="str">
        <f>IF(G28&lt;&gt;"",1+MAX($A$2:A27),"")</f>
        <v/>
      </c>
      <c r="B28" s="201"/>
      <c r="C28" s="198"/>
      <c r="D28" s="168" t="s">
        <v>64</v>
      </c>
      <c r="E28" s="35"/>
      <c r="F28" s="36"/>
      <c r="G28" s="28"/>
      <c r="H28" s="29"/>
      <c r="I28" s="89"/>
      <c r="J28" s="90"/>
      <c r="K28" s="30"/>
      <c r="L28" s="30"/>
      <c r="M28" s="31"/>
      <c r="N28" s="32"/>
      <c r="O28" s="9"/>
      <c r="P28" s="175">
        <f t="shared" si="12"/>
        <v>0</v>
      </c>
      <c r="Q28" s="175">
        <f t="shared" si="13"/>
        <v>0</v>
      </c>
      <c r="S28" s="9"/>
    </row>
    <row r="29" spans="1:20" ht="15.75" x14ac:dyDescent="0.25">
      <c r="A29" s="54">
        <f>IF(G29&lt;&gt;"",1+MAX($A$2:A28),"")</f>
        <v>11</v>
      </c>
      <c r="B29" s="201"/>
      <c r="C29" s="198"/>
      <c r="D29" s="115" t="s">
        <v>77</v>
      </c>
      <c r="E29" s="35" t="s">
        <v>45</v>
      </c>
      <c r="F29" s="36">
        <f>962+361.05</f>
        <v>1323.05</v>
      </c>
      <c r="G29" s="28">
        <v>0.1</v>
      </c>
      <c r="H29" s="29">
        <f>(G29*F29)+F29</f>
        <v>1455.355</v>
      </c>
      <c r="I29" s="89">
        <v>7.8E-2</v>
      </c>
      <c r="J29" s="90">
        <v>40</v>
      </c>
      <c r="K29" s="30">
        <f t="shared" ref="K29" si="14">J29*I29</f>
        <v>3.12</v>
      </c>
      <c r="L29" s="30">
        <v>0</v>
      </c>
      <c r="M29" s="31">
        <f>K29+L29</f>
        <v>3.12</v>
      </c>
      <c r="N29" s="32">
        <f>H29*M29</f>
        <v>4540.7076000000006</v>
      </c>
      <c r="O29" s="9"/>
      <c r="P29" s="175">
        <f t="shared" si="12"/>
        <v>4540.7076000000006</v>
      </c>
      <c r="Q29" s="175">
        <f t="shared" si="13"/>
        <v>0</v>
      </c>
    </row>
    <row r="30" spans="1:20" ht="15.75" x14ac:dyDescent="0.25">
      <c r="A30" s="54" t="str">
        <f>IF(G30&lt;&gt;"",1+MAX($A$2:A29),"")</f>
        <v/>
      </c>
      <c r="B30" s="201"/>
      <c r="C30" s="198"/>
      <c r="D30" s="115"/>
      <c r="E30" s="35"/>
      <c r="F30" s="36"/>
      <c r="G30" s="28"/>
      <c r="H30" s="29"/>
      <c r="I30" s="89"/>
      <c r="J30" s="90"/>
      <c r="K30" s="30"/>
      <c r="L30" s="30"/>
      <c r="M30" s="31"/>
      <c r="N30" s="32"/>
      <c r="O30" s="9"/>
      <c r="P30" s="175">
        <f t="shared" si="12"/>
        <v>0</v>
      </c>
      <c r="Q30" s="175">
        <f t="shared" si="13"/>
        <v>0</v>
      </c>
    </row>
    <row r="31" spans="1:20" ht="15.75" x14ac:dyDescent="0.25">
      <c r="A31" s="54" t="str">
        <f>IF(G31&lt;&gt;"",1+MAX($A$2:A30),"")</f>
        <v/>
      </c>
      <c r="B31" s="201"/>
      <c r="C31" s="198"/>
      <c r="D31" s="168" t="s">
        <v>65</v>
      </c>
      <c r="E31" s="35"/>
      <c r="F31" s="36"/>
      <c r="G31" s="28"/>
      <c r="H31" s="29"/>
      <c r="I31" s="89"/>
      <c r="J31" s="90"/>
      <c r="K31" s="30"/>
      <c r="L31" s="30"/>
      <c r="M31" s="31"/>
      <c r="N31" s="32"/>
      <c r="O31" s="9"/>
      <c r="P31" s="175">
        <f t="shared" si="12"/>
        <v>0</v>
      </c>
      <c r="Q31" s="175">
        <f t="shared" si="13"/>
        <v>0</v>
      </c>
    </row>
    <row r="32" spans="1:20" ht="15.75" x14ac:dyDescent="0.25">
      <c r="A32" s="54">
        <f>IF(G32&lt;&gt;"",1+MAX($A$2:A31),"")</f>
        <v>12</v>
      </c>
      <c r="B32" s="201"/>
      <c r="C32" s="198"/>
      <c r="D32" s="190" t="s">
        <v>76</v>
      </c>
      <c r="E32" s="35" t="s">
        <v>75</v>
      </c>
      <c r="F32" s="36">
        <f>(3470+(24*44)+(13*8)+(34.75*15))*6.4</f>
        <v>32968</v>
      </c>
      <c r="G32" s="28">
        <v>0.1</v>
      </c>
      <c r="H32" s="29">
        <f t="shared" ref="H32" si="15">(G32*F32)+F32</f>
        <v>36264.800000000003</v>
      </c>
      <c r="I32" s="89">
        <v>7.1999999999999998E-3</v>
      </c>
      <c r="J32" s="90">
        <v>40</v>
      </c>
      <c r="K32" s="30">
        <f t="shared" ref="K32" si="16">J32*I32</f>
        <v>0.28799999999999998</v>
      </c>
      <c r="L32" s="30">
        <v>1.36</v>
      </c>
      <c r="M32" s="31">
        <f t="shared" ref="M32" si="17">K32+L32</f>
        <v>1.6480000000000001</v>
      </c>
      <c r="N32" s="32">
        <f t="shared" ref="N32" si="18">H32*M32</f>
        <v>59764.390400000011</v>
      </c>
      <c r="O32" s="9"/>
      <c r="P32" s="175">
        <f t="shared" si="12"/>
        <v>10444.2624</v>
      </c>
      <c r="Q32" s="175">
        <f t="shared" si="13"/>
        <v>49320.128000000004</v>
      </c>
    </row>
    <row r="33" spans="1:17" ht="15.75" x14ac:dyDescent="0.25">
      <c r="A33" s="54" t="str">
        <f>IF(G33&lt;&gt;"",1+MAX($A$2:A32),"")</f>
        <v/>
      </c>
      <c r="B33" s="201"/>
      <c r="C33" s="198"/>
      <c r="D33" s="115"/>
      <c r="E33" s="35"/>
      <c r="F33" s="36"/>
      <c r="G33" s="28"/>
      <c r="H33" s="29"/>
      <c r="I33" s="89"/>
      <c r="J33" s="90"/>
      <c r="K33" s="30"/>
      <c r="L33" s="30"/>
      <c r="M33" s="31"/>
      <c r="N33" s="32"/>
      <c r="O33" s="9"/>
      <c r="P33" s="175">
        <f t="shared" si="12"/>
        <v>0</v>
      </c>
      <c r="Q33" s="175">
        <f t="shared" si="13"/>
        <v>0</v>
      </c>
    </row>
    <row r="34" spans="1:17" ht="15.75" x14ac:dyDescent="0.25">
      <c r="A34" s="54" t="str">
        <f>IF(G34&lt;&gt;"",1+MAX($A$2:A33),"")</f>
        <v/>
      </c>
      <c r="B34" s="201"/>
      <c r="C34" s="198"/>
      <c r="D34" s="168" t="s">
        <v>66</v>
      </c>
      <c r="E34" s="35"/>
      <c r="F34" s="36"/>
      <c r="G34" s="28"/>
      <c r="H34" s="29"/>
      <c r="I34" s="89"/>
      <c r="J34" s="90"/>
      <c r="K34" s="30"/>
      <c r="L34" s="30"/>
      <c r="M34" s="31"/>
      <c r="N34" s="32"/>
      <c r="O34" s="9"/>
      <c r="P34" s="175">
        <f t="shared" si="12"/>
        <v>0</v>
      </c>
      <c r="Q34" s="175">
        <f t="shared" si="13"/>
        <v>0</v>
      </c>
    </row>
    <row r="35" spans="1:17" ht="31.5" x14ac:dyDescent="0.25">
      <c r="A35" s="54">
        <f>IF(G35&lt;&gt;"",1+MAX($A$2:A34),"")</f>
        <v>13</v>
      </c>
      <c r="B35" s="201"/>
      <c r="C35" s="198"/>
      <c r="D35" s="115" t="s">
        <v>73</v>
      </c>
      <c r="E35" s="35" t="s">
        <v>45</v>
      </c>
      <c r="F35" s="36">
        <f>3470+(24*44)+(13*8)+(34.75*15)</f>
        <v>5151.25</v>
      </c>
      <c r="G35" s="28">
        <v>0.1</v>
      </c>
      <c r="H35" s="29">
        <f>(G35*F35)+F35</f>
        <v>5666.375</v>
      </c>
      <c r="I35" s="89">
        <v>1.7999999999999999E-2</v>
      </c>
      <c r="J35" s="90">
        <v>40</v>
      </c>
      <c r="K35" s="30">
        <f t="shared" ref="K35" si="19">J35*I35</f>
        <v>0.72</v>
      </c>
      <c r="L35" s="30">
        <v>1.1499999999999999</v>
      </c>
      <c r="M35" s="31">
        <f>K35+L35</f>
        <v>1.8699999999999999</v>
      </c>
      <c r="N35" s="32">
        <f>H35*M35</f>
        <v>10596.12125</v>
      </c>
      <c r="O35" s="9"/>
      <c r="P35" s="175">
        <f t="shared" si="12"/>
        <v>4079.79</v>
      </c>
      <c r="Q35" s="175">
        <f t="shared" si="13"/>
        <v>6516.3312499999993</v>
      </c>
    </row>
    <row r="36" spans="1:17" ht="15.75" x14ac:dyDescent="0.25">
      <c r="A36" s="54" t="str">
        <f>IF(G36&lt;&gt;"",1+MAX($A$2:A35),"")</f>
        <v/>
      </c>
      <c r="B36" s="201"/>
      <c r="C36" s="198"/>
      <c r="D36" s="115"/>
      <c r="E36" s="35"/>
      <c r="F36" s="36"/>
      <c r="G36" s="28"/>
      <c r="H36" s="29"/>
      <c r="I36" s="89"/>
      <c r="J36" s="90"/>
      <c r="K36" s="30"/>
      <c r="L36" s="30"/>
      <c r="M36" s="31"/>
      <c r="N36" s="32"/>
      <c r="O36" s="9"/>
      <c r="P36" s="175">
        <f t="shared" si="12"/>
        <v>0</v>
      </c>
      <c r="Q36" s="175">
        <f t="shared" si="13"/>
        <v>0</v>
      </c>
    </row>
    <row r="37" spans="1:17" ht="15.75" x14ac:dyDescent="0.25">
      <c r="A37" s="54" t="str">
        <f>IF(G37&lt;&gt;"",1+MAX($A$2:A36),"")</f>
        <v/>
      </c>
      <c r="B37" s="201"/>
      <c r="C37" s="198"/>
      <c r="D37" s="168" t="s">
        <v>67</v>
      </c>
      <c r="E37" s="35"/>
      <c r="F37" s="36"/>
      <c r="G37" s="28"/>
      <c r="H37" s="29"/>
      <c r="I37" s="89"/>
      <c r="J37" s="90"/>
      <c r="K37" s="30"/>
      <c r="L37" s="30"/>
      <c r="M37" s="31"/>
      <c r="N37" s="32"/>
      <c r="O37" s="9"/>
      <c r="P37" s="175">
        <f t="shared" si="12"/>
        <v>0</v>
      </c>
      <c r="Q37" s="175">
        <f t="shared" si="13"/>
        <v>0</v>
      </c>
    </row>
    <row r="38" spans="1:17" ht="15.75" x14ac:dyDescent="0.25">
      <c r="A38" s="54">
        <f>IF(G38&lt;&gt;"",1+MAX($A$2:A37),"")</f>
        <v>14</v>
      </c>
      <c r="B38" s="201"/>
      <c r="C38" s="198"/>
      <c r="D38" s="115" t="s">
        <v>52</v>
      </c>
      <c r="E38" s="35" t="s">
        <v>45</v>
      </c>
      <c r="F38" s="36">
        <f>3470+(24*44)+(13*8)+(34.75*15)</f>
        <v>5151.25</v>
      </c>
      <c r="G38" s="28">
        <v>0.1</v>
      </c>
      <c r="H38" s="29">
        <f>(G38*F38)+F38</f>
        <v>5666.375</v>
      </c>
      <c r="I38" s="89">
        <v>9.5999999999999992E-3</v>
      </c>
      <c r="J38" s="90">
        <v>40</v>
      </c>
      <c r="K38" s="30">
        <f t="shared" ref="K38" si="20">J38*I38</f>
        <v>0.38399999999999995</v>
      </c>
      <c r="L38" s="30">
        <v>0.45</v>
      </c>
      <c r="M38" s="31">
        <f>K38+L38</f>
        <v>0.83399999999999996</v>
      </c>
      <c r="N38" s="32">
        <f>H38*M38</f>
        <v>4725.7567499999996</v>
      </c>
      <c r="O38" s="9"/>
      <c r="P38" s="175">
        <f t="shared" si="12"/>
        <v>2175.8879999999999</v>
      </c>
      <c r="Q38" s="175">
        <f t="shared" si="13"/>
        <v>2549.8687500000001</v>
      </c>
    </row>
    <row r="39" spans="1:17" ht="15.75" x14ac:dyDescent="0.25">
      <c r="A39" s="54">
        <f>IF(G39&lt;&gt;"",1+MAX($A$2:A38),"")</f>
        <v>15</v>
      </c>
      <c r="B39" s="201"/>
      <c r="C39" s="198"/>
      <c r="D39" s="115" t="s">
        <v>54</v>
      </c>
      <c r="E39" s="35" t="s">
        <v>45</v>
      </c>
      <c r="F39" s="36">
        <f>(20*178)+(24*30)+(21*56)+(20*115)+(24*30)</f>
        <v>8476</v>
      </c>
      <c r="G39" s="28">
        <v>0.1</v>
      </c>
      <c r="H39" s="29">
        <f t="shared" ref="H39" si="21">(G39*F39)+F39</f>
        <v>9323.6</v>
      </c>
      <c r="I39" s="89">
        <v>0.03</v>
      </c>
      <c r="J39" s="90">
        <v>40</v>
      </c>
      <c r="K39" s="30">
        <f t="shared" ref="K39" si="22">J39*I39</f>
        <v>1.2</v>
      </c>
      <c r="L39" s="30">
        <v>1.75</v>
      </c>
      <c r="M39" s="31">
        <f t="shared" ref="M39" si="23">K39+L39</f>
        <v>2.95</v>
      </c>
      <c r="N39" s="32">
        <f t="shared" ref="N39" si="24">H39*M39</f>
        <v>27504.620000000003</v>
      </c>
      <c r="O39" s="9"/>
      <c r="P39" s="175">
        <f t="shared" si="12"/>
        <v>11188.32</v>
      </c>
      <c r="Q39" s="175">
        <f t="shared" si="13"/>
        <v>16316.300000000001</v>
      </c>
    </row>
    <row r="40" spans="1:17" ht="15.75" x14ac:dyDescent="0.25">
      <c r="A40" s="54" t="str">
        <f>IF(G40&lt;&gt;"",1+MAX($A$2:A39),"")</f>
        <v/>
      </c>
      <c r="B40" s="201"/>
      <c r="C40" s="198"/>
      <c r="D40" s="115"/>
      <c r="E40" s="35"/>
      <c r="F40" s="36"/>
      <c r="G40" s="28"/>
      <c r="H40" s="29"/>
      <c r="I40" s="89"/>
      <c r="J40" s="90"/>
      <c r="K40" s="30"/>
      <c r="L40" s="30"/>
      <c r="M40" s="31"/>
      <c r="N40" s="32"/>
      <c r="O40" s="9"/>
      <c r="P40" s="175">
        <f t="shared" si="12"/>
        <v>0</v>
      </c>
      <c r="Q40" s="175">
        <f t="shared" si="13"/>
        <v>0</v>
      </c>
    </row>
    <row r="41" spans="1:17" ht="15.75" x14ac:dyDescent="0.25">
      <c r="A41" s="54" t="str">
        <f>IF(G41&lt;&gt;"",1+MAX($A$2:A40),"")</f>
        <v/>
      </c>
      <c r="B41" s="201"/>
      <c r="C41" s="198"/>
      <c r="D41" s="168" t="s">
        <v>68</v>
      </c>
      <c r="E41" s="35"/>
      <c r="F41" s="36"/>
      <c r="G41" s="28"/>
      <c r="H41" s="29"/>
      <c r="I41" s="89"/>
      <c r="J41" s="90"/>
      <c r="K41" s="30"/>
      <c r="L41" s="30"/>
      <c r="M41" s="31"/>
      <c r="N41" s="32"/>
      <c r="O41" s="9"/>
      <c r="P41" s="175">
        <f t="shared" si="12"/>
        <v>0</v>
      </c>
      <c r="Q41" s="175">
        <f t="shared" si="13"/>
        <v>0</v>
      </c>
    </row>
    <row r="42" spans="1:17" ht="15.75" x14ac:dyDescent="0.25">
      <c r="A42" s="54">
        <f>IF(G42&lt;&gt;"",1+MAX($A$2:A41),"")</f>
        <v>16</v>
      </c>
      <c r="B42" s="201"/>
      <c r="C42" s="198"/>
      <c r="D42" s="115" t="s">
        <v>53</v>
      </c>
      <c r="E42" s="35" t="s">
        <v>45</v>
      </c>
      <c r="F42" s="36">
        <f>3470+(24*44)+(13*8)+(34.75*15)</f>
        <v>5151.25</v>
      </c>
      <c r="G42" s="28">
        <v>0.1</v>
      </c>
      <c r="H42" s="29">
        <f>(G42*F42)+F42</f>
        <v>5666.375</v>
      </c>
      <c r="I42" s="89">
        <v>0.12</v>
      </c>
      <c r="J42" s="90">
        <v>40</v>
      </c>
      <c r="K42" s="30">
        <f t="shared" ref="K42" si="25">J42*I42</f>
        <v>4.8</v>
      </c>
      <c r="L42" s="30">
        <v>0.86</v>
      </c>
      <c r="M42" s="31">
        <f>K42+L42</f>
        <v>5.66</v>
      </c>
      <c r="N42" s="32">
        <f>H42*M42</f>
        <v>32071.682500000003</v>
      </c>
      <c r="O42" s="9"/>
      <c r="P42" s="175">
        <f t="shared" si="12"/>
        <v>27198.6</v>
      </c>
      <c r="Q42" s="175">
        <f t="shared" si="13"/>
        <v>4873.0824999999995</v>
      </c>
    </row>
    <row r="43" spans="1:17" ht="15.75" x14ac:dyDescent="0.25">
      <c r="A43" s="54" t="str">
        <f>IF(G43&lt;&gt;"",1+MAX($A$2:A42),"")</f>
        <v/>
      </c>
      <c r="B43" s="201"/>
      <c r="C43" s="198"/>
      <c r="D43" s="115"/>
      <c r="E43" s="35"/>
      <c r="F43" s="36"/>
      <c r="G43" s="28"/>
      <c r="H43" s="29"/>
      <c r="I43" s="89"/>
      <c r="J43" s="90"/>
      <c r="K43" s="30"/>
      <c r="L43" s="30"/>
      <c r="M43" s="31"/>
      <c r="N43" s="32"/>
      <c r="O43" s="9"/>
      <c r="P43" s="175">
        <f t="shared" si="12"/>
        <v>0</v>
      </c>
      <c r="Q43" s="175">
        <f t="shared" si="13"/>
        <v>0</v>
      </c>
    </row>
    <row r="44" spans="1:17" ht="15.75" x14ac:dyDescent="0.25">
      <c r="A44" s="54" t="str">
        <f>IF(G44&lt;&gt;"",1+MAX($A$2:A43),"")</f>
        <v/>
      </c>
      <c r="B44" s="201"/>
      <c r="C44" s="198"/>
      <c r="D44" s="168" t="s">
        <v>69</v>
      </c>
      <c r="E44" s="35"/>
      <c r="F44" s="36"/>
      <c r="G44" s="28"/>
      <c r="H44" s="29"/>
      <c r="I44" s="89"/>
      <c r="J44" s="90"/>
      <c r="K44" s="30"/>
      <c r="L44" s="30"/>
      <c r="M44" s="31"/>
      <c r="N44" s="32"/>
      <c r="O44" s="9"/>
      <c r="P44" s="175">
        <f t="shared" si="12"/>
        <v>0</v>
      </c>
      <c r="Q44" s="175">
        <f t="shared" si="13"/>
        <v>0</v>
      </c>
    </row>
    <row r="45" spans="1:17" ht="15.75" x14ac:dyDescent="0.25">
      <c r="A45" s="54">
        <f>IF(G45&lt;&gt;"",1+MAX($A$2:A44),"")</f>
        <v>17</v>
      </c>
      <c r="B45" s="201"/>
      <c r="C45" s="198"/>
      <c r="D45" s="115" t="s">
        <v>78</v>
      </c>
      <c r="E45" s="35" t="s">
        <v>45</v>
      </c>
      <c r="F45" s="36">
        <f>(20*178)+(24*30)+(21*56)+(20*115)+(24*30)</f>
        <v>8476</v>
      </c>
      <c r="G45" s="28">
        <v>0.1</v>
      </c>
      <c r="H45" s="29">
        <f>(G45*F45)+F45</f>
        <v>9323.6</v>
      </c>
      <c r="I45" s="89">
        <v>1.44E-2</v>
      </c>
      <c r="J45" s="90">
        <v>40</v>
      </c>
      <c r="K45" s="30">
        <f t="shared" ref="K45" si="26">J45*I45</f>
        <v>0.57599999999999996</v>
      </c>
      <c r="L45" s="30">
        <v>0.42</v>
      </c>
      <c r="M45" s="31">
        <f>K45+L45</f>
        <v>0.996</v>
      </c>
      <c r="N45" s="32">
        <f>H45*M45</f>
        <v>9286.3055999999997</v>
      </c>
      <c r="O45" s="9"/>
      <c r="P45" s="175">
        <f t="shared" si="12"/>
        <v>5370.3935999999994</v>
      </c>
      <c r="Q45" s="175">
        <f t="shared" si="13"/>
        <v>3915.9119999999998</v>
      </c>
    </row>
    <row r="46" spans="1:17" ht="15.75" x14ac:dyDescent="0.25">
      <c r="A46" s="54" t="str">
        <f>IF(G46&lt;&gt;"",1+MAX($A$2:A45),"")</f>
        <v/>
      </c>
      <c r="B46" s="201"/>
      <c r="C46" s="198"/>
      <c r="D46" s="115"/>
      <c r="E46" s="35"/>
      <c r="F46" s="36"/>
      <c r="G46" s="28"/>
      <c r="H46" s="29"/>
      <c r="I46" s="89"/>
      <c r="J46" s="90"/>
      <c r="K46" s="30"/>
      <c r="L46" s="30"/>
      <c r="M46" s="31"/>
      <c r="N46" s="32"/>
      <c r="O46" s="9"/>
      <c r="P46" s="175">
        <f t="shared" si="12"/>
        <v>0</v>
      </c>
      <c r="Q46" s="175">
        <f t="shared" si="13"/>
        <v>0</v>
      </c>
    </row>
    <row r="47" spans="1:17" ht="15.75" x14ac:dyDescent="0.25">
      <c r="A47" s="54" t="str">
        <f>IF(G47&lt;&gt;"",1+MAX($A$2:A46),"")</f>
        <v/>
      </c>
      <c r="B47" s="201"/>
      <c r="C47" s="198"/>
      <c r="D47" s="168" t="s">
        <v>70</v>
      </c>
      <c r="E47" s="35"/>
      <c r="F47" s="36"/>
      <c r="G47" s="28"/>
      <c r="H47" s="29"/>
      <c r="I47" s="89"/>
      <c r="J47" s="90"/>
      <c r="K47" s="30"/>
      <c r="L47" s="30"/>
      <c r="M47" s="31"/>
      <c r="N47" s="32"/>
      <c r="O47" s="9"/>
      <c r="P47" s="175">
        <f t="shared" si="12"/>
        <v>0</v>
      </c>
      <c r="Q47" s="175">
        <f t="shared" si="13"/>
        <v>0</v>
      </c>
    </row>
    <row r="48" spans="1:17" ht="15.75" x14ac:dyDescent="0.25">
      <c r="A48" s="54">
        <f>IF(G48&lt;&gt;"",1+MAX($A$2:A47),"")</f>
        <v>18</v>
      </c>
      <c r="B48" s="201"/>
      <c r="C48" s="198"/>
      <c r="D48" s="190" t="s">
        <v>57</v>
      </c>
      <c r="E48" s="35" t="s">
        <v>71</v>
      </c>
      <c r="F48" s="36">
        <f>F25/(1.33*1.33)*1.1</f>
        <v>20859.268471931708</v>
      </c>
      <c r="G48" s="28">
        <v>0</v>
      </c>
      <c r="H48" s="29">
        <f t="shared" ref="H48" si="27">(G48*F48)+F48</f>
        <v>20859.268471931708</v>
      </c>
      <c r="I48" s="89">
        <v>8.0000000000000002E-3</v>
      </c>
      <c r="J48" s="90">
        <v>40</v>
      </c>
      <c r="K48" s="30">
        <f t="shared" ref="K48" si="28">J48*I48</f>
        <v>0.32</v>
      </c>
      <c r="L48" s="30">
        <v>0.52</v>
      </c>
      <c r="M48" s="31">
        <f>K48+L48</f>
        <v>0.84000000000000008</v>
      </c>
      <c r="N48" s="32">
        <f t="shared" ref="N48" si="29">H48*M48</f>
        <v>17521.785516422635</v>
      </c>
      <c r="O48" s="9"/>
      <c r="P48" s="175">
        <f t="shared" si="12"/>
        <v>6674.9659110181465</v>
      </c>
      <c r="Q48" s="175">
        <f t="shared" si="13"/>
        <v>10846.819605404487</v>
      </c>
    </row>
    <row r="49" spans="1:20" ht="47.25" x14ac:dyDescent="0.25">
      <c r="A49" s="54">
        <f>IF(G49&lt;&gt;"",1+MAX($A$2:A48),"")</f>
        <v>19</v>
      </c>
      <c r="B49" s="201"/>
      <c r="C49" s="198"/>
      <c r="D49" s="190" t="s">
        <v>74</v>
      </c>
      <c r="E49" s="35" t="s">
        <v>71</v>
      </c>
      <c r="F49" s="36">
        <f>F25/(1.33*1.33)*1.1</f>
        <v>20859.268471931708</v>
      </c>
      <c r="G49" s="28">
        <v>0</v>
      </c>
      <c r="H49" s="29">
        <f t="shared" ref="H49:H52" si="30">(G49*F49)+F49</f>
        <v>20859.268471931708</v>
      </c>
      <c r="I49" s="89">
        <v>1.7999999999999999E-2</v>
      </c>
      <c r="J49" s="90">
        <v>40</v>
      </c>
      <c r="K49" s="30">
        <f t="shared" ref="K49:K52" si="31">J49*I49</f>
        <v>0.72</v>
      </c>
      <c r="L49" s="30">
        <v>7.26</v>
      </c>
      <c r="M49" s="31">
        <f t="shared" ref="M49:M52" si="32">K49+L49</f>
        <v>7.9799999999999995</v>
      </c>
      <c r="N49" s="32">
        <f t="shared" ref="N49:N52" si="33">H49*M49</f>
        <v>166456.96240601502</v>
      </c>
      <c r="O49" s="9"/>
      <c r="P49" s="175">
        <f t="shared" si="12"/>
        <v>15018.673299790829</v>
      </c>
      <c r="Q49" s="175">
        <f t="shared" si="13"/>
        <v>151438.2891062242</v>
      </c>
    </row>
    <row r="50" spans="1:20" ht="15.75" x14ac:dyDescent="0.25">
      <c r="A50" s="54" t="str">
        <f>IF(G50&lt;&gt;"",1+MAX($A$2:A49),"")</f>
        <v/>
      </c>
      <c r="B50" s="201"/>
      <c r="C50" s="198"/>
      <c r="D50" s="115"/>
      <c r="E50" s="35"/>
      <c r="F50" s="36"/>
      <c r="G50" s="28"/>
      <c r="H50" s="29"/>
      <c r="I50" s="89"/>
      <c r="J50" s="90"/>
      <c r="K50" s="30"/>
      <c r="L50" s="30"/>
      <c r="M50" s="31"/>
      <c r="N50" s="32"/>
      <c r="O50" s="9"/>
      <c r="P50" s="175">
        <f t="shared" si="12"/>
        <v>0</v>
      </c>
      <c r="Q50" s="175">
        <f t="shared" si="13"/>
        <v>0</v>
      </c>
    </row>
    <row r="51" spans="1:20" ht="15.75" x14ac:dyDescent="0.25">
      <c r="A51" s="54" t="str">
        <f>IF(G51&lt;&gt;"",1+MAX($A$2:A50),"")</f>
        <v/>
      </c>
      <c r="B51" s="201"/>
      <c r="C51" s="198"/>
      <c r="D51" s="168" t="s">
        <v>72</v>
      </c>
      <c r="E51" s="35"/>
      <c r="F51" s="36"/>
      <c r="G51" s="28"/>
      <c r="H51" s="29"/>
      <c r="I51" s="89"/>
      <c r="J51" s="90"/>
      <c r="K51" s="30"/>
      <c r="L51" s="30"/>
      <c r="M51" s="31"/>
      <c r="N51" s="32"/>
      <c r="O51" s="9"/>
      <c r="P51" s="175">
        <f t="shared" si="12"/>
        <v>0</v>
      </c>
      <c r="Q51" s="175">
        <f t="shared" si="13"/>
        <v>0</v>
      </c>
    </row>
    <row r="52" spans="1:20" ht="15.75" x14ac:dyDescent="0.25">
      <c r="A52" s="54">
        <f>IF(G52&lt;&gt;"",1+MAX($A$2:A51),"")</f>
        <v>20</v>
      </c>
      <c r="B52" s="201"/>
      <c r="C52" s="198"/>
      <c r="D52" s="190" t="s">
        <v>50</v>
      </c>
      <c r="E52" s="35" t="s">
        <v>71</v>
      </c>
      <c r="F52" s="36">
        <f>(F25*1.1/100)/2</f>
        <v>184.4898</v>
      </c>
      <c r="G52" s="28">
        <v>0</v>
      </c>
      <c r="H52" s="29">
        <f t="shared" si="30"/>
        <v>184.4898</v>
      </c>
      <c r="I52" s="89">
        <v>0.35</v>
      </c>
      <c r="J52" s="90">
        <v>40</v>
      </c>
      <c r="K52" s="30">
        <f t="shared" si="31"/>
        <v>14</v>
      </c>
      <c r="L52" s="30">
        <v>0</v>
      </c>
      <c r="M52" s="31">
        <f t="shared" si="32"/>
        <v>14</v>
      </c>
      <c r="N52" s="32">
        <f t="shared" si="33"/>
        <v>2582.8571999999999</v>
      </c>
      <c r="O52" s="9"/>
      <c r="P52" s="175">
        <f t="shared" si="12"/>
        <v>2582.8571999999999</v>
      </c>
      <c r="Q52" s="175">
        <f t="shared" si="13"/>
        <v>0</v>
      </c>
    </row>
    <row r="53" spans="1:20" ht="47.25" x14ac:dyDescent="0.25">
      <c r="A53" s="54" t="str">
        <f>IF(G53&lt;&gt;"",1+MAX($A$2:A52),"")</f>
        <v/>
      </c>
      <c r="B53" s="202"/>
      <c r="C53" s="199"/>
      <c r="D53" s="167" t="s">
        <v>55</v>
      </c>
      <c r="E53" s="35"/>
      <c r="F53" s="36"/>
      <c r="G53" s="28"/>
      <c r="H53" s="29"/>
      <c r="I53" s="89"/>
      <c r="J53" s="90"/>
      <c r="K53" s="30"/>
      <c r="L53" s="30"/>
      <c r="M53" s="31"/>
      <c r="N53" s="32"/>
      <c r="O53" s="9"/>
      <c r="P53" s="175">
        <f t="shared" si="12"/>
        <v>0</v>
      </c>
      <c r="Q53" s="175">
        <f t="shared" si="13"/>
        <v>0</v>
      </c>
    </row>
    <row r="54" spans="1:20" ht="15.75" x14ac:dyDescent="0.25">
      <c r="A54" s="178"/>
      <c r="B54" s="179"/>
      <c r="C54" s="121"/>
      <c r="D54" s="180"/>
      <c r="E54" s="181"/>
      <c r="F54" s="182"/>
      <c r="G54" s="183"/>
      <c r="H54" s="184"/>
      <c r="I54" s="185"/>
      <c r="J54" s="186"/>
      <c r="K54" s="187"/>
      <c r="L54" s="187"/>
      <c r="M54" s="188"/>
      <c r="N54" s="189"/>
      <c r="O54" s="9"/>
      <c r="P54" s="175"/>
      <c r="Q54" s="175"/>
    </row>
    <row r="55" spans="1:20" ht="15.75" x14ac:dyDescent="0.2">
      <c r="A55" s="146" t="str">
        <f>IF(G55&lt;&gt;"",1+MAX($A$2:A53),"")</f>
        <v/>
      </c>
      <c r="B55" s="145"/>
      <c r="C55" s="147"/>
      <c r="D55" s="145"/>
      <c r="E55" s="145"/>
      <c r="F55" s="145"/>
      <c r="G55" s="145"/>
      <c r="H55" s="145"/>
      <c r="I55" s="145"/>
      <c r="J55" s="145"/>
      <c r="K55" s="148"/>
      <c r="L55" s="148"/>
      <c r="M55" s="149" t="s">
        <v>19</v>
      </c>
      <c r="N55" s="150">
        <f>SUM(N23:N53)</f>
        <v>1296981.0064224377</v>
      </c>
      <c r="O55" s="9"/>
      <c r="P55" s="173">
        <f>SUM(P25:P53)</f>
        <v>496627.93641080899</v>
      </c>
      <c r="Q55" s="173">
        <f>SUM(Q25:Q53)</f>
        <v>800353.07001162891</v>
      </c>
      <c r="R55" s="9"/>
      <c r="S55" s="9"/>
      <c r="T55" s="9"/>
    </row>
    <row r="56" spans="1:20" s="1" customFormat="1" ht="18" customHeight="1" x14ac:dyDescent="0.2">
      <c r="A56" s="160" t="str">
        <f>IF(G56&lt;&gt;"",1+MAX($A$2:A55),"")</f>
        <v/>
      </c>
      <c r="B56" s="55"/>
      <c r="C56" s="127"/>
      <c r="D56" s="165"/>
      <c r="E56" s="127"/>
      <c r="F56" s="58"/>
      <c r="G56" s="55"/>
      <c r="H56" s="55"/>
      <c r="I56" s="59"/>
      <c r="J56" s="55"/>
      <c r="K56" s="60"/>
      <c r="L56" s="60"/>
      <c r="M56" s="61"/>
      <c r="N56" s="166"/>
      <c r="O56" s="9"/>
      <c r="P56" s="9"/>
      <c r="Q56" s="9"/>
      <c r="R56" s="9"/>
      <c r="S56" s="9"/>
      <c r="T56" s="9"/>
    </row>
    <row r="57" spans="1:20" ht="20.100000000000001" customHeight="1" x14ac:dyDescent="0.2">
      <c r="A57" s="170" t="s">
        <v>9</v>
      </c>
      <c r="B57" s="161"/>
      <c r="C57" s="161"/>
      <c r="D57" s="161"/>
      <c r="E57" s="161"/>
      <c r="F57" s="161"/>
      <c r="G57" s="161"/>
      <c r="H57" s="161"/>
      <c r="I57" s="161"/>
      <c r="J57" s="161"/>
      <c r="K57" s="161"/>
      <c r="L57" s="162"/>
      <c r="M57" s="163"/>
      <c r="N57" s="164">
        <f>N55+N20</f>
        <v>1673789.0064224377</v>
      </c>
      <c r="O57" s="9"/>
    </row>
    <row r="58" spans="1:20" ht="20.100000000000001" customHeight="1" x14ac:dyDescent="0.2">
      <c r="A58" s="170" t="s">
        <v>61</v>
      </c>
      <c r="B58" s="63"/>
      <c r="C58" s="128"/>
      <c r="D58" s="157"/>
      <c r="E58" s="157"/>
      <c r="F58" s="157"/>
      <c r="G58" s="157"/>
      <c r="H58" s="157"/>
      <c r="I58" s="157"/>
      <c r="J58" s="157"/>
      <c r="K58" s="157"/>
      <c r="L58" s="158"/>
      <c r="M58" s="64">
        <v>0.1</v>
      </c>
      <c r="N58" s="65">
        <f>N57*M58</f>
        <v>167378.9006422438</v>
      </c>
    </row>
    <row r="59" spans="1:20" ht="20.100000000000001" customHeight="1" x14ac:dyDescent="0.2">
      <c r="A59" s="170" t="s">
        <v>62</v>
      </c>
      <c r="B59" s="63"/>
      <c r="C59" s="128"/>
      <c r="D59" s="157"/>
      <c r="E59" s="157"/>
      <c r="F59" s="157"/>
      <c r="G59" s="157"/>
      <c r="H59" s="157"/>
      <c r="I59" s="157"/>
      <c r="J59" s="157"/>
      <c r="K59" s="157"/>
      <c r="L59" s="158"/>
      <c r="M59" s="64">
        <v>0.1</v>
      </c>
      <c r="N59" s="65">
        <f>N57*M59</f>
        <v>167378.9006422438</v>
      </c>
    </row>
    <row r="60" spans="1:20" ht="20.100000000000001" customHeight="1" x14ac:dyDescent="0.2">
      <c r="A60" s="170" t="s">
        <v>3</v>
      </c>
      <c r="B60" s="66"/>
      <c r="C60" s="129"/>
      <c r="D60" s="157"/>
      <c r="E60" s="157"/>
      <c r="F60" s="157"/>
      <c r="G60" s="157"/>
      <c r="H60" s="157"/>
      <c r="I60" s="157"/>
      <c r="J60" s="157"/>
      <c r="K60" s="157"/>
      <c r="L60" s="158"/>
      <c r="M60" s="67">
        <v>0.03</v>
      </c>
      <c r="N60" s="68">
        <f>N57*M60</f>
        <v>50213.670192673133</v>
      </c>
    </row>
    <row r="61" spans="1:20" ht="20.100000000000001" customHeight="1" x14ac:dyDescent="0.2">
      <c r="A61" s="170" t="s">
        <v>13</v>
      </c>
      <c r="B61" s="66"/>
      <c r="C61" s="129"/>
      <c r="D61" s="157"/>
      <c r="E61" s="157"/>
      <c r="F61" s="157"/>
      <c r="G61" s="157"/>
      <c r="H61" s="157"/>
      <c r="I61" s="157"/>
      <c r="J61" s="157"/>
      <c r="K61" s="157"/>
      <c r="L61" s="158"/>
      <c r="M61" s="67">
        <v>0.05</v>
      </c>
      <c r="N61" s="65">
        <f>N57*M61</f>
        <v>83689.450321121898</v>
      </c>
    </row>
    <row r="62" spans="1:20" ht="20.100000000000001" customHeight="1" thickBot="1" x14ac:dyDescent="0.25">
      <c r="A62" s="170" t="s">
        <v>21</v>
      </c>
      <c r="B62" s="69"/>
      <c r="C62" s="130"/>
      <c r="D62" s="70"/>
      <c r="E62" s="70"/>
      <c r="F62" s="70"/>
      <c r="G62" s="70"/>
      <c r="H62" s="70"/>
      <c r="I62" s="70"/>
      <c r="J62" s="70"/>
      <c r="K62" s="70"/>
      <c r="L62" s="71"/>
      <c r="M62" s="169">
        <v>5.2999999999999999E-2</v>
      </c>
      <c r="N62" s="72">
        <f>Q55*M62</f>
        <v>42418.712710616332</v>
      </c>
    </row>
    <row r="63" spans="1:20" ht="20.100000000000001" customHeight="1" thickBot="1" x14ac:dyDescent="0.25">
      <c r="A63" s="153" t="s">
        <v>10</v>
      </c>
      <c r="B63" s="154"/>
      <c r="C63" s="154"/>
      <c r="D63" s="155"/>
      <c r="E63" s="155"/>
      <c r="F63" s="155"/>
      <c r="G63" s="155"/>
      <c r="H63" s="155"/>
      <c r="I63" s="155"/>
      <c r="J63" s="155"/>
      <c r="K63" s="155"/>
      <c r="L63" s="155"/>
      <c r="M63" s="156"/>
      <c r="N63" s="73">
        <f>N57+N58+N60+N61+N62+N59</f>
        <v>2184868.6409313367</v>
      </c>
    </row>
    <row r="64" spans="1:20" ht="20.100000000000001" customHeight="1" thickBot="1" x14ac:dyDescent="0.25">
      <c r="A64" s="143" t="s">
        <v>42</v>
      </c>
      <c r="B64" s="74"/>
      <c r="C64" s="131"/>
      <c r="D64" s="112"/>
      <c r="E64" s="112"/>
      <c r="F64" s="112"/>
      <c r="G64" s="112"/>
      <c r="H64" s="112"/>
      <c r="I64" s="112"/>
      <c r="J64" s="112"/>
      <c r="K64" s="112"/>
      <c r="L64" s="112"/>
      <c r="M64" s="113"/>
      <c r="N64" s="75"/>
    </row>
    <row r="65" spans="1:14" ht="20.100000000000001" customHeight="1" x14ac:dyDescent="0.2">
      <c r="A65" s="152" t="s">
        <v>39</v>
      </c>
      <c r="B65" s="136"/>
      <c r="C65" s="121"/>
      <c r="D65" s="112"/>
      <c r="E65" s="112"/>
      <c r="F65" s="112"/>
      <c r="G65" s="112"/>
      <c r="H65" s="112"/>
      <c r="I65" s="112"/>
      <c r="J65" s="112"/>
      <c r="K65" s="112"/>
      <c r="L65" s="112"/>
      <c r="M65" s="113"/>
      <c r="N65" s="75" t="s">
        <v>26</v>
      </c>
    </row>
    <row r="66" spans="1:14" ht="20.100000000000001" customHeight="1" x14ac:dyDescent="0.2">
      <c r="A66" s="152" t="s">
        <v>40</v>
      </c>
      <c r="B66" s="136"/>
      <c r="C66" s="121"/>
      <c r="D66" s="112"/>
      <c r="E66" s="112"/>
      <c r="F66" s="112"/>
      <c r="G66" s="112"/>
      <c r="H66" s="112"/>
      <c r="I66" s="112"/>
      <c r="J66" s="112"/>
      <c r="K66" s="112"/>
      <c r="L66" s="112"/>
      <c r="M66" s="113"/>
      <c r="N66" s="75"/>
    </row>
    <row r="67" spans="1:14" ht="15.75" customHeight="1" thickBot="1" x14ac:dyDescent="0.25">
      <c r="A67" s="139"/>
      <c r="B67" s="137"/>
      <c r="C67" s="132"/>
      <c r="D67" s="76"/>
      <c r="E67" s="76"/>
      <c r="F67" s="76"/>
      <c r="G67" s="76"/>
      <c r="H67" s="76"/>
      <c r="I67" s="76"/>
      <c r="J67" s="76"/>
      <c r="K67" s="76"/>
      <c r="L67" s="76"/>
      <c r="M67" s="77"/>
      <c r="N67" s="78"/>
    </row>
  </sheetData>
  <mergeCells count="3">
    <mergeCell ref="C24:C53"/>
    <mergeCell ref="B24:B53"/>
    <mergeCell ref="A2:N2"/>
  </mergeCells>
  <printOptions horizontalCentered="1"/>
  <pageMargins left="0.7" right="0.7" top="0.75" bottom="0.75" header="0.3" footer="0.3"/>
  <pageSetup paperSize="9" scale="51" fitToHeight="0" orientation="landscape" r:id="rId1"/>
  <headerFooter scaleWithDoc="0"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S w i f t T o k e n s   x m l n s : x s d = " h t t p : / / w w w . w 3 . o r g / 2 0 0 1 / X M L S c h e m a "   x m l n s : x s i = " h t t p : / / w w w . w 3 . o r g / 2 0 0 1 / X M L S c h e m a - i n s t a n c e " > < T o k e n s / > < / S w i f t T o k e n s > 
</file>

<file path=customXml/itemProps1.xml><?xml version="1.0" encoding="utf-8"?>
<ds:datastoreItem xmlns:ds="http://schemas.openxmlformats.org/officeDocument/2006/customXml" ds:itemID="{84216C5C-9B9E-4B87-989D-CB2A7370C2CC}">
  <ds:schemaRefs>
    <ds:schemaRef ds:uri="http://www.w3.org/2001/XMLSchema"/>
  </ds:schemaRefs>
</ds:datastoreItem>
</file>

<file path=docMetadata/LabelInfo.xml><?xml version="1.0" encoding="utf-8"?>
<clbl:labelList xmlns:clbl="http://schemas.microsoft.com/office/2020/mipLabelMetadata">
  <clbl:label id="{f786616f-5bb4-45d1-b9c4-7a19bded0f1d}" enabled="1" method="Standard" siteId="{97be21fd-c601-4b16-9920-f5accc69da65}"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General Summary</vt:lpstr>
      <vt:lpstr>Takeoff Breakdown</vt:lpstr>
      <vt:lpstr>'General Summary'!Print_Area</vt:lpstr>
      <vt:lpstr>'Takeoff Breakdown'!Print_Area</vt:lpstr>
      <vt:lpstr>'Takeoff Breakdown'!Print_Titles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COST BIDDING LLC</dc:creator>
  <cp:keywords/>
  <dc:description/>
  <cp:lastModifiedBy>Hunter, Ernst</cp:lastModifiedBy>
  <cp:lastPrinted>2025-09-22T15:08:36Z</cp:lastPrinted>
  <dcterms:created xsi:type="dcterms:W3CDTF">2016-03-30T11:57:46Z</dcterms:created>
  <dcterms:modified xsi:type="dcterms:W3CDTF">2025-09-22T15:45:59Z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S9Connected">
    <vt:bool>true</vt:bool>
  </property>
  <property fmtid="{D5CDD505-2E9C-101B-9397-08002B2CF9AE}" pid="3" name="PlanSwiftJobName">
    <vt:lpwstr/>
  </property>
  <property fmtid="{D5CDD505-2E9C-101B-9397-08002B2CF9AE}" pid="4" name="PlanSwiftJobGuid">
    <vt:lpwstr/>
  </property>
  <property fmtid="{D5CDD505-2E9C-101B-9397-08002B2CF9AE}" pid="5" name="LinkedDataId">
    <vt:lpwstr>{84216C5C-9B9E-4B87-989D-CB2A7370C2CC}</vt:lpwstr>
  </property>
</Properties>
</file>